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600" windowHeight="7995" tabRatio="710" firstSheet="12" activeTab="18"/>
  </bookViews>
  <sheets>
    <sheet name="3 and 8 Mil" sheetId="1" r:id="rId1"/>
    <sheet name="15 and 25 Mil" sheetId="2" r:id="rId2"/>
    <sheet name="30 and 50 Mil" sheetId="3" r:id="rId3"/>
    <sheet name="3 Mil" sheetId="4" r:id="rId4"/>
    <sheet name="8 Mil" sheetId="5" r:id="rId5"/>
    <sheet name="10 Mil" sheetId="8" r:id="rId6"/>
    <sheet name="15 Mil" sheetId="6" r:id="rId7"/>
    <sheet name="25 Mil" sheetId="7" r:id="rId8"/>
    <sheet name="Summary" sheetId="9" r:id="rId9"/>
    <sheet name="Cash FLow" sheetId="10" r:id="rId10"/>
    <sheet name="Labor Cost" sheetId="11" r:id="rId11"/>
    <sheet name="10 Mil Rev Stats" sheetId="13" r:id="rId12"/>
    <sheet name="10 Mil Rev Advantage" sheetId="14" r:id="rId13"/>
    <sheet name="Labor Cost Rev" sheetId="15" r:id="rId14"/>
    <sheet name="10 Mil Rev 25%" sheetId="12" r:id="rId15"/>
    <sheet name="10 Mil Rev 20%" sheetId="16" r:id="rId16"/>
    <sheet name="10 Mil Rev 15%" sheetId="17" r:id="rId17"/>
    <sheet name="10 Mil Rev 10%" sheetId="18" r:id="rId18"/>
    <sheet name="Sample" sheetId="20" r:id="rId19"/>
  </sheets>
  <calcPr calcId="125725"/>
</workbook>
</file>

<file path=xl/calcChain.xml><?xml version="1.0" encoding="utf-8"?>
<calcChain xmlns="http://schemas.openxmlformats.org/spreadsheetml/2006/main">
  <c r="C10" i="20"/>
  <c r="C11" s="1"/>
  <c r="C8"/>
  <c r="C9" s="1"/>
  <c r="B13"/>
  <c r="E11" i="13"/>
  <c r="E10"/>
  <c r="B11"/>
  <c r="B10"/>
  <c r="D11"/>
  <c r="D10"/>
  <c r="C11"/>
  <c r="C10"/>
  <c r="C13" i="18"/>
  <c r="B12"/>
  <c r="C9"/>
  <c r="C10" s="1"/>
  <c r="C8"/>
  <c r="C7"/>
  <c r="C13" i="17"/>
  <c r="B12"/>
  <c r="C9"/>
  <c r="C10" s="1"/>
  <c r="C12" s="1"/>
  <c r="C14" s="1"/>
  <c r="B14" s="1"/>
  <c r="C8"/>
  <c r="C7"/>
  <c r="C15" i="16"/>
  <c r="B14"/>
  <c r="C11"/>
  <c r="C12" s="1"/>
  <c r="C14" s="1"/>
  <c r="C16" s="1"/>
  <c r="B16" s="1"/>
  <c r="C10"/>
  <c r="C9"/>
  <c r="C15" i="12"/>
  <c r="G14" i="15"/>
  <c r="C14"/>
  <c r="H13"/>
  <c r="F13"/>
  <c r="H12"/>
  <c r="F12"/>
  <c r="H11"/>
  <c r="F11"/>
  <c r="H10"/>
  <c r="H14" s="1"/>
  <c r="F10"/>
  <c r="F14" s="1"/>
  <c r="C9" i="14"/>
  <c r="C9" i="12"/>
  <c r="C10"/>
  <c r="C11"/>
  <c r="C12" s="1"/>
  <c r="C13" s="1"/>
  <c r="B14"/>
  <c r="F17" i="11"/>
  <c r="F14"/>
  <c r="F15"/>
  <c r="F16"/>
  <c r="F13"/>
  <c r="C17"/>
  <c r="H14"/>
  <c r="H15"/>
  <c r="H16"/>
  <c r="H13"/>
  <c r="B1" i="10"/>
  <c r="B3" s="1"/>
  <c r="B6" s="1"/>
  <c r="C28" i="4"/>
  <c r="D17" i="9"/>
  <c r="C17"/>
  <c r="D14"/>
  <c r="C14"/>
  <c r="D13"/>
  <c r="C13"/>
  <c r="C28" i="5"/>
  <c r="C28" i="6"/>
  <c r="C28" i="7"/>
  <c r="C57" i="5"/>
  <c r="C57" i="4"/>
  <c r="C42" i="8"/>
  <c r="C44"/>
  <c r="C46" s="1"/>
  <c r="C49" s="1"/>
  <c r="C25"/>
  <c r="C23"/>
  <c r="C19"/>
  <c r="C14"/>
  <c r="C16" s="1"/>
  <c r="C20" s="1"/>
  <c r="C26" s="1"/>
  <c r="C28" s="1"/>
  <c r="C42" i="4"/>
  <c r="C44"/>
  <c r="C46" s="1"/>
  <c r="C49" s="1"/>
  <c r="C25"/>
  <c r="C51" s="1"/>
  <c r="C23"/>
  <c r="C19"/>
  <c r="C14"/>
  <c r="C16" s="1"/>
  <c r="C45" i="7"/>
  <c r="C47" s="1"/>
  <c r="C50" s="1"/>
  <c r="C43"/>
  <c r="C25"/>
  <c r="C55" s="1"/>
  <c r="C23"/>
  <c r="C19"/>
  <c r="C14"/>
  <c r="C16" s="1"/>
  <c r="C42" i="6"/>
  <c r="C44"/>
  <c r="C46" s="1"/>
  <c r="C49" s="1"/>
  <c r="C25"/>
  <c r="C23"/>
  <c r="C19"/>
  <c r="C14"/>
  <c r="C16" s="1"/>
  <c r="C20" s="1"/>
  <c r="C26" s="1"/>
  <c r="C44" i="5"/>
  <c r="C46" s="1"/>
  <c r="C23"/>
  <c r="C19"/>
  <c r="C25"/>
  <c r="C54" s="1"/>
  <c r="C14"/>
  <c r="C16" s="1"/>
  <c r="C20" s="1"/>
  <c r="C26" s="1"/>
  <c r="H84" i="1"/>
  <c r="C93"/>
  <c r="C84"/>
  <c r="H93"/>
  <c r="C110"/>
  <c r="G106"/>
  <c r="G105"/>
  <c r="B106"/>
  <c r="C105"/>
  <c r="B105"/>
  <c r="C102"/>
  <c r="H67"/>
  <c r="H66"/>
  <c r="H65"/>
  <c r="H64"/>
  <c r="H83" s="1"/>
  <c r="C67"/>
  <c r="C66"/>
  <c r="C65"/>
  <c r="C64"/>
  <c r="C83" s="1"/>
  <c r="H92"/>
  <c r="H91"/>
  <c r="H86"/>
  <c r="H76"/>
  <c r="C91"/>
  <c r="C92"/>
  <c r="C86"/>
  <c r="C85"/>
  <c r="C76"/>
  <c r="H51" i="2"/>
  <c r="C51"/>
  <c r="H50"/>
  <c r="C50"/>
  <c r="H37"/>
  <c r="H33"/>
  <c r="C33"/>
  <c r="C37"/>
  <c r="H24"/>
  <c r="C24"/>
  <c r="H47"/>
  <c r="C47"/>
  <c r="H48" i="1"/>
  <c r="H47"/>
  <c r="C48"/>
  <c r="C47"/>
  <c r="H24"/>
  <c r="C24"/>
  <c r="H47" i="3"/>
  <c r="C47"/>
  <c r="H23"/>
  <c r="C23"/>
  <c r="H48"/>
  <c r="C48"/>
  <c r="C33"/>
  <c r="C35" s="1"/>
  <c r="C38" s="1"/>
  <c r="H33"/>
  <c r="H35" s="1"/>
  <c r="H38" s="1"/>
  <c r="H34" i="1"/>
  <c r="H44" s="1"/>
  <c r="C34"/>
  <c r="C44" s="1"/>
  <c r="H15" i="3"/>
  <c r="H17" s="1"/>
  <c r="C15"/>
  <c r="C17" s="1"/>
  <c r="H16" i="2"/>
  <c r="H18" s="1"/>
  <c r="C16"/>
  <c r="C18" s="1"/>
  <c r="H16" i="1"/>
  <c r="H18" s="1"/>
  <c r="C16"/>
  <c r="C18" s="1"/>
  <c r="B21" i="20" l="1"/>
  <c r="C14" s="1"/>
  <c r="C13"/>
  <c r="C12"/>
  <c r="C12" i="18"/>
  <c r="C14" s="1"/>
  <c r="C11"/>
  <c r="B16" i="17"/>
  <c r="B17" s="1"/>
  <c r="C11"/>
  <c r="B18" i="16"/>
  <c r="B19" s="1"/>
  <c r="C13"/>
  <c r="C14" i="12"/>
  <c r="C16" s="1"/>
  <c r="B16" s="1"/>
  <c r="H17" i="11"/>
  <c r="C8" i="10"/>
  <c r="D6"/>
  <c r="B4"/>
  <c r="B7" s="1"/>
  <c r="C27" i="8"/>
  <c r="C48" s="1"/>
  <c r="C50" s="1"/>
  <c r="C58"/>
  <c r="C51"/>
  <c r="C54"/>
  <c r="C20" i="4"/>
  <c r="C26" s="1"/>
  <c r="C54"/>
  <c r="C58"/>
  <c r="C20" i="7"/>
  <c r="C26" s="1"/>
  <c r="C59"/>
  <c r="C27"/>
  <c r="C52"/>
  <c r="C27" i="6"/>
  <c r="C54"/>
  <c r="C51"/>
  <c r="C48"/>
  <c r="C50" s="1"/>
  <c r="C58"/>
  <c r="C58" i="5"/>
  <c r="C51"/>
  <c r="C27"/>
  <c r="C49"/>
  <c r="H110" i="1"/>
  <c r="H94"/>
  <c r="C89"/>
  <c r="C95" s="1"/>
  <c r="C94"/>
  <c r="C87"/>
  <c r="H85"/>
  <c r="H39" i="2"/>
  <c r="H42" s="1"/>
  <c r="C39"/>
  <c r="C42" s="1"/>
  <c r="H44" i="3"/>
  <c r="C44"/>
  <c r="C36" i="1"/>
  <c r="C39" s="1"/>
  <c r="C101" s="1"/>
  <c r="H36"/>
  <c r="H39" s="1"/>
  <c r="H101" s="1"/>
  <c r="H105" s="1"/>
  <c r="C19" i="3"/>
  <c r="C20" s="1"/>
  <c r="C24" s="1"/>
  <c r="H19"/>
  <c r="H20" s="1"/>
  <c r="H24" s="1"/>
  <c r="H20" i="2"/>
  <c r="C20"/>
  <c r="H20" i="1"/>
  <c r="H21" s="1"/>
  <c r="H100" s="1"/>
  <c r="C20"/>
  <c r="C21" s="1"/>
  <c r="C15" i="20" l="1"/>
  <c r="B17" s="1"/>
  <c r="B16" i="18"/>
  <c r="B17" s="1"/>
  <c r="B14"/>
  <c r="C52" i="8"/>
  <c r="C55" s="1"/>
  <c r="C57" s="1"/>
  <c r="C15" i="9" s="1"/>
  <c r="C9" i="10"/>
  <c r="B8"/>
  <c r="D7"/>
  <c r="C27" i="4"/>
  <c r="C48" s="1"/>
  <c r="C50" s="1"/>
  <c r="C52" s="1"/>
  <c r="C55" s="1"/>
  <c r="C56" s="1"/>
  <c r="C49" i="7"/>
  <c r="C51" s="1"/>
  <c r="C53" s="1"/>
  <c r="C56" s="1"/>
  <c r="C52" i="6"/>
  <c r="C55" s="1"/>
  <c r="C57" s="1"/>
  <c r="C16" i="9" s="1"/>
  <c r="C48" i="5"/>
  <c r="C50" s="1"/>
  <c r="C52" s="1"/>
  <c r="C55" s="1"/>
  <c r="C56" s="1"/>
  <c r="H102" i="1"/>
  <c r="C25"/>
  <c r="C100"/>
  <c r="C96"/>
  <c r="C104"/>
  <c r="C106" s="1"/>
  <c r="H25"/>
  <c r="H26" s="1"/>
  <c r="H89"/>
  <c r="H95" s="1"/>
  <c r="H104" s="1"/>
  <c r="H106" s="1"/>
  <c r="H87"/>
  <c r="H21" i="2"/>
  <c r="H25" s="1"/>
  <c r="C21"/>
  <c r="C25" s="1"/>
  <c r="C26" i="1"/>
  <c r="C38"/>
  <c r="C40" s="1"/>
  <c r="C41" s="1"/>
  <c r="H25" i="3"/>
  <c r="H37"/>
  <c r="H39" s="1"/>
  <c r="H49" s="1"/>
  <c r="H50" s="1"/>
  <c r="C37"/>
  <c r="C25"/>
  <c r="C10" i="14" l="1"/>
  <c r="B18" i="12"/>
  <c r="B19" s="1"/>
  <c r="C11" i="14" s="1"/>
  <c r="C56" i="8"/>
  <c r="C59" s="1"/>
  <c r="C60" s="1"/>
  <c r="D15" i="9" s="1"/>
  <c r="D8" i="10"/>
  <c r="C10"/>
  <c r="B9"/>
  <c r="C57" i="7"/>
  <c r="C58"/>
  <c r="C56" i="6"/>
  <c r="C59" i="4"/>
  <c r="C60" s="1"/>
  <c r="C60" i="7"/>
  <c r="C61" s="1"/>
  <c r="C59" i="5"/>
  <c r="C60" s="1"/>
  <c r="C26" i="2"/>
  <c r="C41"/>
  <c r="C43" s="1"/>
  <c r="H26"/>
  <c r="H41"/>
  <c r="H43" s="1"/>
  <c r="H38" i="1"/>
  <c r="H96"/>
  <c r="C49"/>
  <c r="C50" s="1"/>
  <c r="H40"/>
  <c r="H41" s="1"/>
  <c r="C39" i="3"/>
  <c r="H41"/>
  <c r="H40"/>
  <c r="B10" i="10" l="1"/>
  <c r="C11"/>
  <c r="D9"/>
  <c r="C59" i="6"/>
  <c r="C60" s="1"/>
  <c r="D16" i="9" s="1"/>
  <c r="H44" i="2"/>
  <c r="H52"/>
  <c r="H53" s="1"/>
  <c r="C52"/>
  <c r="C53" s="1"/>
  <c r="C44"/>
  <c r="H49" i="1"/>
  <c r="H50" s="1"/>
  <c r="C40" i="3"/>
  <c r="C41" s="1"/>
  <c r="C49"/>
  <c r="C50" s="1"/>
  <c r="C12" i="10" l="1"/>
  <c r="B11"/>
  <c r="D10"/>
  <c r="E10" s="1"/>
  <c r="D11" l="1"/>
  <c r="C13"/>
  <c r="B12"/>
  <c r="C14" l="1"/>
  <c r="B13"/>
  <c r="D12"/>
  <c r="C15" l="1"/>
  <c r="D13"/>
  <c r="B14"/>
  <c r="C16" l="1"/>
  <c r="D14"/>
  <c r="D15" s="1"/>
  <c r="D16" s="1"/>
  <c r="B15" i="20"/>
  <c r="B18"/>
</calcChain>
</file>

<file path=xl/sharedStrings.xml><?xml version="1.0" encoding="utf-8"?>
<sst xmlns="http://schemas.openxmlformats.org/spreadsheetml/2006/main" count="793" uniqueCount="216">
  <si>
    <t>Producers</t>
  </si>
  <si>
    <t>CSRs</t>
  </si>
  <si>
    <t>Bookkeeper</t>
  </si>
  <si>
    <t>CSR Estimated Workload Reduction</t>
  </si>
  <si>
    <t>Estimated Add'l Sales CSR Can Handle</t>
  </si>
  <si>
    <t>Additional Sales Potential</t>
  </si>
  <si>
    <t>Additional Premium Sold</t>
  </si>
  <si>
    <t>Additional Profit to the Agency</t>
  </si>
  <si>
    <t>SMALL SIZE P&amp;C AGENCY</t>
  </si>
  <si>
    <t>MEDIUM SIZE P&amp;C AGENCY</t>
  </si>
  <si>
    <t>Agency Commission Rate</t>
  </si>
  <si>
    <t>Additional Agency Commission</t>
  </si>
  <si>
    <t>Premium/Policy</t>
  </si>
  <si>
    <t>No of Policy/Year</t>
  </si>
  <si>
    <t>Broker Fee/Policy</t>
  </si>
  <si>
    <t>Total Broker Fee</t>
  </si>
  <si>
    <t>Profit After Retaining Service</t>
  </si>
  <si>
    <t>TA SERVICE-DRIVEN  ADDITIONAL PROFITS</t>
  </si>
  <si>
    <t>Estimated Annual Service Fee</t>
  </si>
  <si>
    <t>Average Service Fee/policy</t>
  </si>
  <si>
    <t>MEDIUM/LARGE SIZE P&amp;C AGENCY</t>
  </si>
  <si>
    <t>Sales Expenses %</t>
  </si>
  <si>
    <t>Sales Expenses Amount</t>
  </si>
  <si>
    <t>Optional Broker Fee (Deal with Contingencies)</t>
  </si>
  <si>
    <t>Potential Profit Increase (Nominal)</t>
  </si>
  <si>
    <t>Potential Profit Increase (Actual)</t>
  </si>
  <si>
    <t>Current + Profit from Add'l Sales</t>
  </si>
  <si>
    <t>Service Fee</t>
  </si>
  <si>
    <t>Profit Less Service Fee</t>
  </si>
  <si>
    <t>Profit Increase (Actual)</t>
  </si>
  <si>
    <t>Cost of Add'l Profit - Service Fee</t>
  </si>
  <si>
    <t xml:space="preserve">Actual Profit Increase </t>
  </si>
  <si>
    <t>Actual Profit Increase Amount</t>
  </si>
  <si>
    <t xml:space="preserve">Actual Profit Increase % </t>
  </si>
  <si>
    <t>Optional Broker Fee (Dealing with Contingencies)</t>
  </si>
  <si>
    <t>Estimated Annual Premium (Million)</t>
  </si>
  <si>
    <t>LARGE SIZE P&amp;C AGENCY</t>
  </si>
  <si>
    <t>COST OF ADDITIONAL PROFIT</t>
  </si>
  <si>
    <t>SERVICE ADVANTAGE</t>
  </si>
  <si>
    <t>Current Profit Margin</t>
  </si>
  <si>
    <t>Profit on Additional Sales</t>
  </si>
  <si>
    <t xml:space="preserve">New Profit Margin </t>
  </si>
  <si>
    <t>Profit Before Service</t>
  </si>
  <si>
    <t>Profit Margin Increase</t>
  </si>
  <si>
    <t>TO INSURANCE BROKERS: IF YOU CAN SELL MORE WE CAN  SUPPORT YOU DO SO!</t>
  </si>
  <si>
    <t>ECONOMIC ADVANTAGE</t>
  </si>
  <si>
    <t>LARGE P&amp;C AGENCY</t>
  </si>
  <si>
    <t>LARGE  P&amp;C AGENCY</t>
  </si>
  <si>
    <t>SMALL P&amp;C AGENCY</t>
  </si>
  <si>
    <t>MEDIUM P&amp;C AGENCY</t>
  </si>
  <si>
    <t>20% to 30%</t>
  </si>
  <si>
    <t>WORK LOAD REDUCTION</t>
  </si>
  <si>
    <t>PERSONNEL</t>
  </si>
  <si>
    <t>Owners/Managers</t>
  </si>
  <si>
    <t>PAYROLL TAXES &amp; BENEFITS</t>
  </si>
  <si>
    <t>Taxes</t>
  </si>
  <si>
    <t>Benefits</t>
  </si>
  <si>
    <t>Taxes &amp; Benefits</t>
  </si>
  <si>
    <t>SALARIES/COMMISSION</t>
  </si>
  <si>
    <t xml:space="preserve">TOTAL </t>
  </si>
  <si>
    <t>ESTIMATED VALUE OF WORK LOAD REDUCTION</t>
  </si>
  <si>
    <t>USE OF WORK LOAD REDUCTION</t>
  </si>
  <si>
    <t>Operating Cost Savings</t>
  </si>
  <si>
    <t>Additional Sales</t>
  </si>
  <si>
    <t>Profit From Additional Sales</t>
  </si>
  <si>
    <t>Profit Margin on Additional Business</t>
  </si>
  <si>
    <t xml:space="preserve">Agency Commission </t>
  </si>
  <si>
    <t>Additional Sales %</t>
  </si>
  <si>
    <t>Oprt'g Cost Savings + Add'l Profit</t>
  </si>
  <si>
    <t>Owner/Manager</t>
  </si>
  <si>
    <t>Use of service Advantage</t>
  </si>
  <si>
    <t>Operating Cost Savings (CSRs &amp; BKPR)</t>
  </si>
  <si>
    <t>Additional Profit From Business Growth</t>
  </si>
  <si>
    <t>Cost Savings + Additional Sales</t>
  </si>
  <si>
    <t>Cost of Additional Profit</t>
  </si>
  <si>
    <t>Net Additional Profit</t>
  </si>
  <si>
    <t>Broker Fee Required</t>
  </si>
  <si>
    <t>Yes</t>
  </si>
  <si>
    <t>Annual Broker Fee</t>
  </si>
  <si>
    <t>BUSINESS GROWTH VS. COST SAVINGS+SOME ADDITIONAL SALES</t>
  </si>
  <si>
    <t>BUSINESS GROWTH</t>
  </si>
  <si>
    <t>COST SAVINGS + SOME ADDITIONAL SALES</t>
  </si>
  <si>
    <t>BROKER FEE</t>
  </si>
  <si>
    <t>OPERATING COST SAVINGS FROM WORK LOAD REDUCTION</t>
  </si>
  <si>
    <t>$8 MILLION P&amp;C AGENCY</t>
  </si>
  <si>
    <t xml:space="preserve">Estimated Additional Sales </t>
  </si>
  <si>
    <t>Additional Commission Income</t>
  </si>
  <si>
    <t>Projected Sales Expenses %</t>
  </si>
  <si>
    <t>Additional Payroll Expenses</t>
  </si>
  <si>
    <t>Profit Margin on Add'l Sales</t>
  </si>
  <si>
    <t>Bookkeeper Workload Reduction</t>
  </si>
  <si>
    <t xml:space="preserve">Producer Add'l Sales Time </t>
  </si>
  <si>
    <t>Additional Premium Sales</t>
  </si>
  <si>
    <t>Additional Profit: What It Means</t>
  </si>
  <si>
    <t>Current Commission Income</t>
  </si>
  <si>
    <t xml:space="preserve">Current Profit </t>
  </si>
  <si>
    <t>Profit Due to Add'l Sales</t>
  </si>
  <si>
    <t>Potential Profit Increase</t>
  </si>
  <si>
    <t>Service Fee/Policy/Policy Term</t>
  </si>
  <si>
    <t>Profit From Service-Supported Operation</t>
  </si>
  <si>
    <t>Additional Profit Potential</t>
  </si>
  <si>
    <t>Current Profit</t>
  </si>
  <si>
    <t>Additional Net Profit Potential</t>
  </si>
  <si>
    <t>Total Commission Income Potential</t>
  </si>
  <si>
    <t>New Profit Margin Potential</t>
  </si>
  <si>
    <t>Net Profit From Service-Supported Operation</t>
  </si>
  <si>
    <t>Net Profit Potential Increase</t>
  </si>
  <si>
    <t>Profit Margin Can Potentially Increase By</t>
  </si>
  <si>
    <t>TA SERVICE-SUPPORTED  ADDITIONAL PROFITS</t>
  </si>
  <si>
    <t xml:space="preserve"> WE SUPPORT YOU TO SELL MORE AND BE A LOT MORE EFFICIENT</t>
  </si>
  <si>
    <t>COST OF ECONOMIC ADVANTAGE</t>
  </si>
  <si>
    <t>SERVICE ECONOMIC ADVANTAGE</t>
  </si>
  <si>
    <t>A 25% Increase in Sales Will Potentially Increase Profit By 319%</t>
  </si>
  <si>
    <t>Copyright 2010 By Paulmar Group, LLC</t>
  </si>
  <si>
    <t>Service Fee (Based on Assumptions)</t>
  </si>
  <si>
    <t>Additional Net Profit: What It Means</t>
  </si>
  <si>
    <t>$15 MILLION P&amp;C AGENCY</t>
  </si>
  <si>
    <t>$25 MILLION P&amp;C AGENCY</t>
  </si>
  <si>
    <t>Potential Net Profit Increase By</t>
  </si>
  <si>
    <t>$3 MILLION P&amp;C AGENCY</t>
  </si>
  <si>
    <t>Dn Payment amount</t>
  </si>
  <si>
    <t>Down payment %</t>
  </si>
  <si>
    <t>Premium balance</t>
  </si>
  <si>
    <t>No of installments</t>
  </si>
  <si>
    <t>Bank acct balance Month 1</t>
  </si>
  <si>
    <t>Annual premium</t>
  </si>
  <si>
    <t>A 25% Increase in Sales Will Potentially Increase Net Profit By 144%</t>
  </si>
  <si>
    <t>A 25% Increase in Sales Will Potentially Increase Net Profit By 143%</t>
  </si>
  <si>
    <t>And Potentially Make the Agency 95% More Efficient</t>
  </si>
  <si>
    <t>A 25% Increase in Sales Will Potentially Increase Net Profit By 148%</t>
  </si>
  <si>
    <t>And Potentially Make the Agency 99% More Efficient</t>
  </si>
  <si>
    <t>A 25% Increase in Sales Will Potentially Increase Profit By 219%</t>
  </si>
  <si>
    <t>A 25% Increase in Sales Will Potentially Increase Net Profit By 110%</t>
  </si>
  <si>
    <t>And Potentially Make the Agency 68% More Efficient</t>
  </si>
  <si>
    <t>And Potentially Make the Agency 21% More Efficient</t>
  </si>
  <si>
    <t>A 25% Increase in Sales Will Potentially Increase Net Profit By 51%</t>
  </si>
  <si>
    <t>Book of Business</t>
  </si>
  <si>
    <t>Profit Increase</t>
  </si>
  <si>
    <t>($ Million)</t>
  </si>
  <si>
    <t>(%)</t>
  </si>
  <si>
    <t>Trust Account Management Outsourcing</t>
  </si>
  <si>
    <t>Payroll and Significantly Increase Operating Efficiency</t>
  </si>
  <si>
    <t>Number of policies/year</t>
  </si>
  <si>
    <t xml:space="preserve">Analysis Results Are Based on 25% Sales Increase </t>
  </si>
  <si>
    <t>Actual sales increase</t>
  </si>
  <si>
    <t>Current profit margins</t>
  </si>
  <si>
    <t>NOTES:</t>
  </si>
  <si>
    <t>Operating efficiency increases may vary depending on:</t>
  </si>
  <si>
    <t>Sales expenses (sales commission, etc.)</t>
  </si>
  <si>
    <t>$10 MILLION P&amp;C AGENCY</t>
  </si>
  <si>
    <t>Agency Personnel</t>
  </si>
  <si>
    <t>Average Salary</t>
  </si>
  <si>
    <t>Benefits %</t>
  </si>
  <si>
    <t>Workload Reduction %</t>
  </si>
  <si>
    <t>Workload Reduction Value</t>
  </si>
  <si>
    <t>Bookkeepers</t>
  </si>
  <si>
    <t>Owner/Managers</t>
  </si>
  <si>
    <t>Number</t>
  </si>
  <si>
    <t>TOTAL</t>
  </si>
  <si>
    <t xml:space="preserve">Its Payroll and Overall Operating Cost </t>
  </si>
  <si>
    <t>With more time available and additional CSR support producers will sell more</t>
  </si>
  <si>
    <t>Agency personnel and salaries are estimated averages</t>
  </si>
  <si>
    <t>Payroll Cost</t>
  </si>
  <si>
    <t>SERVICE-ENABLED WORKLOAD REDUCTION VALUE</t>
  </si>
  <si>
    <t>Managers will have more time to manage the agency and supervise production</t>
  </si>
  <si>
    <t>Payroll expenses take time to materialize; service is implemented gradually with new business and renewals</t>
  </si>
  <si>
    <t>Agency owner, generally a producer, will have additional time to either sell more or oversee the agency business</t>
  </si>
  <si>
    <t>Will Enable Agency to Reduce Its Workload</t>
  </si>
  <si>
    <t>SERVICE-ENABLED INCREASE OF OPERATING EFFICIENCY</t>
  </si>
  <si>
    <t>Will Enable Agency to Increase Sales w/o Additional</t>
  </si>
  <si>
    <t>Commission Income From Add'l Sales</t>
  </si>
  <si>
    <t>SALES INCREASE PROJECTION</t>
  </si>
  <si>
    <t>Financial Benefits</t>
  </si>
  <si>
    <t>PAULMAR WILL SUPPORT YOU TO SELL MORE w/o ADDITIONAL PAYROLL</t>
  </si>
  <si>
    <t xml:space="preserve">Projected Additional Sales w/o Add'l Payroll </t>
  </si>
  <si>
    <t xml:space="preserve">Projected Sales Expenses </t>
  </si>
  <si>
    <t>Potential Sales Increase w/o Add'l Payroll</t>
  </si>
  <si>
    <t xml:space="preserve">SERVICE ECONOMIC ADVANTAGE ANALYSIS </t>
  </si>
  <si>
    <t xml:space="preserve">                    -</t>
  </si>
  <si>
    <t xml:space="preserve">SERVICE ECONOMIC ADVANTAGE </t>
  </si>
  <si>
    <t>Potential Profit Margin Increase</t>
  </si>
  <si>
    <t xml:space="preserve">Potential Profit Increase </t>
  </si>
  <si>
    <t xml:space="preserve">Potential Profit Margin Increase </t>
  </si>
  <si>
    <t>Copyright 2008 - 2010 Paulmar Group</t>
  </si>
  <si>
    <t xml:space="preserve">Annual Premium </t>
  </si>
  <si>
    <t>WORKLOAD REDUCTION VALUE</t>
  </si>
  <si>
    <t>TIME IS MONEY!</t>
  </si>
  <si>
    <t>Profit  From Add'l Sales (Profit Margin % &amp; Add'l Profit Amt)</t>
  </si>
  <si>
    <t xml:space="preserve">Profit Margin Increase </t>
  </si>
  <si>
    <t>INCREASING SALES w/NO ADDITIONAL PAYROLL</t>
  </si>
  <si>
    <t xml:space="preserve">Estimated Service Fee = $60/Policy (Service Profit Share) </t>
  </si>
  <si>
    <t>Current Commission Income (% &amp; Amount)</t>
  </si>
  <si>
    <t>Add'l Net Profit (After Paying Service Fees)</t>
  </si>
  <si>
    <t xml:space="preserve">Estimated Service Fee = $60/Policy (Service Fees) </t>
  </si>
  <si>
    <t>New Profit Margin</t>
  </si>
  <si>
    <t xml:space="preserve">OUTSOURCING ECONOMIC ADVANTAGE </t>
  </si>
  <si>
    <t>Copyright 2008 - 2011 Paulmar Group</t>
  </si>
  <si>
    <t>Amount</t>
  </si>
  <si>
    <t>Percent (%)</t>
  </si>
  <si>
    <t xml:space="preserve">Profit  From Add'l Sales </t>
  </si>
  <si>
    <t xml:space="preserve">Current Commission Income </t>
  </si>
  <si>
    <t xml:space="preserve">Estimated Service Fee </t>
  </si>
  <si>
    <r>
      <t>NOBL</t>
    </r>
    <r>
      <rPr>
        <b/>
        <vertAlign val="superscript"/>
        <sz val="12"/>
        <color rgb="FF000099"/>
        <rFont val="Benguiat Bk BT"/>
        <family val="1"/>
      </rPr>
      <t>TM</t>
    </r>
    <r>
      <rPr>
        <b/>
        <sz val="20"/>
        <color rgb="FF000099"/>
        <rFont val="Benguiat Bk BT"/>
        <family val="1"/>
      </rPr>
      <t xml:space="preserve"> - INSURANCE TRUST ACCOUNT SERVICES </t>
    </r>
  </si>
  <si>
    <t xml:space="preserve">2. Enter projected sales increase without additional payroll </t>
  </si>
  <si>
    <t>3. Enter the average premium/policy to determine the number of agency policies/year</t>
  </si>
  <si>
    <t>Add'l Net Profit (Net of Service Fees)</t>
  </si>
  <si>
    <t xml:space="preserve">              -</t>
  </si>
  <si>
    <t>Copyright 2008-2011 by Paulmar Group LLC</t>
  </si>
  <si>
    <t xml:space="preserve">1. Replace sample data with your agency data </t>
  </si>
  <si>
    <t xml:space="preserve">Average Premium/Policy: </t>
  </si>
  <si>
    <t>Your Agency Name</t>
  </si>
  <si>
    <t>OF INCREASING SALES w/NO ADDITIONAL PAYROLL</t>
  </si>
  <si>
    <t xml:space="preserve">No of Policies Sold/Year: </t>
  </si>
  <si>
    <t xml:space="preserve">Expected Profit Margin Increase </t>
  </si>
  <si>
    <t>Expected New Profit Margin</t>
  </si>
  <si>
    <t xml:space="preserve">4. Service fee is based on an average labor cost of $65/policy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</si>
</sst>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_);[Red]\(0\)"/>
    <numFmt numFmtId="168" formatCode="&quot;$&quot;#,##0.0_);\(&quot;$&quot;#,##0.0\)"/>
  </numFmts>
  <fonts count="34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Benguiat Bk BT"/>
      <family val="1"/>
    </font>
    <font>
      <b/>
      <sz val="14"/>
      <color rgb="FFFF0000"/>
      <name val="Benguiat Bk BT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6"/>
      <color rgb="FF000099"/>
      <name val="Calibri"/>
      <family val="2"/>
      <scheme val="minor"/>
    </font>
    <font>
      <b/>
      <sz val="20"/>
      <color rgb="FF000099"/>
      <name val="Benguiat Bk BT"/>
      <family val="1"/>
    </font>
    <font>
      <sz val="18"/>
      <color rgb="FF000099"/>
      <name val="Benguiat Bk BT"/>
      <family val="1"/>
    </font>
    <font>
      <b/>
      <sz val="14"/>
      <color rgb="FF000099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vertAlign val="superscript"/>
      <sz val="12"/>
      <color rgb="FF000099"/>
      <name val="Benguiat Bk BT"/>
      <family val="1"/>
    </font>
    <font>
      <b/>
      <sz val="20"/>
      <color theme="0" tint="-0.34998626667073579"/>
      <name val="Benguiat Bk BT"/>
      <family val="1"/>
    </font>
    <font>
      <b/>
      <sz val="12"/>
      <color rgb="FF000099"/>
      <name val="Benguiat Bk BT"/>
      <family val="1"/>
    </font>
    <font>
      <b/>
      <sz val="11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39">
    <xf numFmtId="0" fontId="0" fillId="0" borderId="0" xfId="0"/>
    <xf numFmtId="8" fontId="0" fillId="0" borderId="0" xfId="0" applyNumberFormat="1"/>
    <xf numFmtId="9" fontId="0" fillId="0" borderId="0" xfId="0" applyNumberFormat="1"/>
    <xf numFmtId="6" fontId="0" fillId="0" borderId="0" xfId="0" applyNumberFormat="1"/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2" xfId="0" applyFont="1" applyBorder="1"/>
    <xf numFmtId="9" fontId="2" fillId="2" borderId="0" xfId="0" applyNumberFormat="1" applyFont="1" applyFill="1"/>
    <xf numFmtId="0" fontId="1" fillId="0" borderId="1" xfId="0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164" fontId="0" fillId="0" borderId="0" xfId="0" applyNumberFormat="1"/>
    <xf numFmtId="0" fontId="0" fillId="0" borderId="2" xfId="0" applyBorder="1"/>
    <xf numFmtId="38" fontId="0" fillId="0" borderId="0" xfId="0" applyNumberFormat="1"/>
    <xf numFmtId="3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3" borderId="0" xfId="0" applyFill="1"/>
    <xf numFmtId="9" fontId="0" fillId="3" borderId="0" xfId="0" applyNumberFormat="1" applyFill="1"/>
    <xf numFmtId="0" fontId="3" fillId="0" borderId="0" xfId="0" applyFont="1" applyAlignment="1">
      <alignment horizontal="centerContinuous" vertical="center"/>
    </xf>
    <xf numFmtId="0" fontId="0" fillId="0" borderId="0" xfId="0" applyBorder="1"/>
    <xf numFmtId="0" fontId="0" fillId="0" borderId="0" xfId="0" applyFill="1"/>
    <xf numFmtId="3" fontId="0" fillId="4" borderId="0" xfId="0" applyNumberFormat="1" applyFill="1"/>
    <xf numFmtId="164" fontId="0" fillId="4" borderId="0" xfId="0" applyNumberFormat="1" applyFill="1"/>
    <xf numFmtId="38" fontId="0" fillId="4" borderId="0" xfId="0" applyNumberFormat="1" applyFill="1"/>
    <xf numFmtId="9" fontId="0" fillId="0" borderId="0" xfId="0" applyNumberFormat="1" applyFill="1"/>
    <xf numFmtId="0" fontId="0" fillId="0" borderId="3" xfId="0" applyBorder="1"/>
    <xf numFmtId="8" fontId="0" fillId="0" borderId="3" xfId="0" applyNumberFormat="1" applyBorder="1"/>
    <xf numFmtId="8" fontId="0" fillId="0" borderId="0" xfId="0" applyNumberFormat="1" applyBorder="1"/>
    <xf numFmtId="0" fontId="4" fillId="0" borderId="0" xfId="0" applyFont="1" applyFill="1" applyAlignment="1">
      <alignment horizontal="centerContinuous" vertical="center"/>
    </xf>
    <xf numFmtId="9" fontId="4" fillId="0" borderId="0" xfId="0" applyNumberFormat="1" applyFont="1" applyFill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9" fontId="4" fillId="0" borderId="4" xfId="0" applyNumberFormat="1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6" fontId="0" fillId="0" borderId="2" xfId="0" applyNumberFormat="1" applyBorder="1"/>
    <xf numFmtId="0" fontId="0" fillId="0" borderId="0" xfId="0" applyFont="1"/>
    <xf numFmtId="0" fontId="0" fillId="4" borderId="1" xfId="0" applyFill="1" applyBorder="1"/>
    <xf numFmtId="9" fontId="0" fillId="4" borderId="1" xfId="0" applyNumberFormat="1" applyFill="1" applyBorder="1"/>
    <xf numFmtId="0" fontId="2" fillId="0" borderId="4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9" fontId="4" fillId="0" borderId="0" xfId="0" applyNumberFormat="1" applyFont="1" applyFill="1" applyBorder="1" applyAlignment="1">
      <alignment horizontal="centerContinuous" vertical="center"/>
    </xf>
    <xf numFmtId="9" fontId="0" fillId="0" borderId="0" xfId="0" applyNumberFormat="1" applyAlignment="1">
      <alignment horizontal="right"/>
    </xf>
    <xf numFmtId="164" fontId="0" fillId="0" borderId="3" xfId="0" applyNumberForma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2" xfId="0" applyFill="1" applyBorder="1"/>
    <xf numFmtId="0" fontId="2" fillId="0" borderId="1" xfId="0" applyFont="1" applyBorder="1" applyAlignment="1">
      <alignment horizontal="centerContinuous" vertical="center"/>
    </xf>
    <xf numFmtId="0" fontId="0" fillId="3" borderId="1" xfId="0" applyFill="1" applyBorder="1"/>
    <xf numFmtId="9" fontId="0" fillId="5" borderId="0" xfId="0" applyNumberForma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16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6" fontId="0" fillId="0" borderId="2" xfId="0" applyNumberFormat="1" applyBorder="1"/>
    <xf numFmtId="164" fontId="0" fillId="0" borderId="2" xfId="0" applyNumberFormat="1" applyBorder="1"/>
    <xf numFmtId="0" fontId="5" fillId="0" borderId="0" xfId="0" applyFont="1"/>
    <xf numFmtId="0" fontId="4" fillId="3" borderId="1" xfId="0" applyFont="1" applyFill="1" applyBorder="1"/>
    <xf numFmtId="9" fontId="4" fillId="3" borderId="1" xfId="0" applyNumberFormat="1" applyFont="1" applyFill="1" applyBorder="1"/>
    <xf numFmtId="0" fontId="7" fillId="6" borderId="1" xfId="0" applyFont="1" applyFill="1" applyBorder="1" applyAlignment="1">
      <alignment vertical="center"/>
    </xf>
    <xf numFmtId="6" fontId="7" fillId="6" borderId="1" xfId="0" applyNumberFormat="1" applyFont="1" applyFill="1" applyBorder="1" applyAlignment="1">
      <alignment vertical="center"/>
    </xf>
    <xf numFmtId="8" fontId="5" fillId="0" borderId="0" xfId="0" applyNumberFormat="1" applyFont="1"/>
    <xf numFmtId="9" fontId="5" fillId="0" borderId="0" xfId="0" applyNumberFormat="1" applyFont="1" applyAlignment="1">
      <alignment horizontal="right"/>
    </xf>
    <xf numFmtId="9" fontId="5" fillId="2" borderId="0" xfId="0" applyNumberFormat="1" applyFont="1" applyFill="1"/>
    <xf numFmtId="9" fontId="5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/>
    <xf numFmtId="0" fontId="5" fillId="0" borderId="0" xfId="0" applyFont="1" applyBorder="1"/>
    <xf numFmtId="38" fontId="5" fillId="0" borderId="0" xfId="0" applyNumberFormat="1" applyFont="1" applyFill="1"/>
    <xf numFmtId="164" fontId="5" fillId="0" borderId="0" xfId="0" applyNumberFormat="1" applyFont="1" applyFill="1"/>
    <xf numFmtId="0" fontId="4" fillId="6" borderId="1" xfId="0" applyFont="1" applyFill="1" applyBorder="1"/>
    <xf numFmtId="164" fontId="4" fillId="6" borderId="1" xfId="0" applyNumberFormat="1" applyFont="1" applyFill="1" applyBorder="1"/>
    <xf numFmtId="0" fontId="4" fillId="0" borderId="0" xfId="0" applyFont="1" applyAlignment="1">
      <alignment horizontal="centerContinuous" vertical="center"/>
    </xf>
    <xf numFmtId="166" fontId="5" fillId="0" borderId="0" xfId="0" applyNumberFormat="1" applyFont="1"/>
    <xf numFmtId="5" fontId="5" fillId="0" borderId="0" xfId="0" applyNumberFormat="1" applyFont="1" applyFill="1"/>
    <xf numFmtId="0" fontId="6" fillId="0" borderId="4" xfId="0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7" borderId="0" xfId="0" applyFill="1"/>
    <xf numFmtId="0" fontId="4" fillId="7" borderId="0" xfId="0" applyFont="1" applyFill="1"/>
    <xf numFmtId="164" fontId="0" fillId="7" borderId="0" xfId="0" applyNumberFormat="1" applyFill="1"/>
    <xf numFmtId="0" fontId="0" fillId="0" borderId="0" xfId="0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6" fontId="5" fillId="0" borderId="0" xfId="0" applyNumberFormat="1" applyFont="1" applyBorder="1"/>
    <xf numFmtId="0" fontId="5" fillId="0" borderId="0" xfId="0" applyFont="1" applyAlignment="1">
      <alignment horizontal="centerContinuous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168" fontId="5" fillId="0" borderId="0" xfId="1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168" fontId="5" fillId="0" borderId="2" xfId="1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37" fontId="5" fillId="0" borderId="0" xfId="1" applyNumberFormat="1" applyFont="1" applyAlignment="1">
      <alignment horizontal="center" vertical="center"/>
    </xf>
    <xf numFmtId="168" fontId="5" fillId="0" borderId="0" xfId="1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68" fontId="5" fillId="0" borderId="2" xfId="1" applyNumberFormat="1" applyFont="1" applyBorder="1" applyAlignment="1">
      <alignment horizontal="left" vertical="center"/>
    </xf>
    <xf numFmtId="37" fontId="5" fillId="0" borderId="2" xfId="1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0" fillId="0" borderId="1" xfId="0" applyBorder="1"/>
    <xf numFmtId="168" fontId="4" fillId="0" borderId="1" xfId="1" applyNumberFormat="1" applyFont="1" applyBorder="1" applyAlignment="1">
      <alignment horizontal="left" vertical="center"/>
    </xf>
    <xf numFmtId="0" fontId="11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4" fillId="0" borderId="0" xfId="0" applyFont="1" applyFill="1" applyBorder="1"/>
    <xf numFmtId="9" fontId="4" fillId="0" borderId="0" xfId="0" applyNumberFormat="1" applyFont="1" applyFill="1" applyBorder="1"/>
    <xf numFmtId="0" fontId="1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9" fontId="14" fillId="0" borderId="0" xfId="0" applyNumberFormat="1" applyFont="1" applyFill="1" applyBorder="1"/>
    <xf numFmtId="9" fontId="4" fillId="0" borderId="2" xfId="0" applyNumberFormat="1" applyFont="1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1" fillId="0" borderId="4" xfId="0" applyFont="1" applyFill="1" applyBorder="1" applyAlignment="1">
      <alignment horizontal="centerContinuous" vertical="center"/>
    </xf>
    <xf numFmtId="9" fontId="14" fillId="3" borderId="4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8" fillId="3" borderId="2" xfId="0" applyFont="1" applyFill="1" applyBorder="1" applyAlignment="1">
      <alignment horizontal="left" vertical="center"/>
    </xf>
    <xf numFmtId="0" fontId="19" fillId="3" borderId="2" xfId="0" applyFont="1" applyFill="1" applyBorder="1"/>
    <xf numFmtId="9" fontId="18" fillId="3" borderId="2" xfId="0" applyNumberFormat="1" applyFont="1" applyFill="1" applyBorder="1" applyAlignment="1">
      <alignment horizontal="right"/>
    </xf>
    <xf numFmtId="0" fontId="18" fillId="3" borderId="3" xfId="0" applyFont="1" applyFill="1" applyBorder="1" applyAlignment="1">
      <alignment horizontal="left" vertical="center"/>
    </xf>
    <xf numFmtId="0" fontId="19" fillId="3" borderId="3" xfId="0" applyFont="1" applyFill="1" applyBorder="1"/>
    <xf numFmtId="9" fontId="18" fillId="3" borderId="3" xfId="0" applyNumberFormat="1" applyFont="1" applyFill="1" applyBorder="1" applyAlignment="1">
      <alignment horizontal="right" vertical="center"/>
    </xf>
    <xf numFmtId="0" fontId="22" fillId="0" borderId="4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168" fontId="4" fillId="3" borderId="1" xfId="1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168" fontId="24" fillId="0" borderId="0" xfId="1" applyNumberFormat="1" applyFont="1" applyAlignment="1">
      <alignment horizontal="left" vertical="center"/>
    </xf>
    <xf numFmtId="37" fontId="24" fillId="0" borderId="0" xfId="1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0" fontId="24" fillId="0" borderId="2" xfId="0" applyFont="1" applyBorder="1" applyAlignment="1">
      <alignment vertical="center"/>
    </xf>
    <xf numFmtId="168" fontId="24" fillId="0" borderId="2" xfId="1" applyNumberFormat="1" applyFont="1" applyBorder="1" applyAlignment="1">
      <alignment horizontal="left" vertical="center"/>
    </xf>
    <xf numFmtId="37" fontId="24" fillId="0" borderId="2" xfId="1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/>
    </xf>
    <xf numFmtId="0" fontId="24" fillId="4" borderId="1" xfId="0" applyFont="1" applyFill="1" applyBorder="1"/>
    <xf numFmtId="0" fontId="24" fillId="4" borderId="1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center" wrapText="1"/>
    </xf>
    <xf numFmtId="9" fontId="23" fillId="0" borderId="0" xfId="0" applyNumberFormat="1" applyFont="1" applyAlignment="1">
      <alignment horizontal="center" vertical="center"/>
    </xf>
    <xf numFmtId="9" fontId="23" fillId="0" borderId="2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/>
    <xf numFmtId="9" fontId="25" fillId="0" borderId="0" xfId="0" applyNumberFormat="1" applyFont="1" applyFill="1" applyBorder="1"/>
    <xf numFmtId="0" fontId="25" fillId="0" borderId="0" xfId="0" applyFont="1" applyAlignment="1">
      <alignment horizontal="centerContinuous" vertical="center"/>
    </xf>
    <xf numFmtId="9" fontId="27" fillId="0" borderId="0" xfId="0" applyNumberFormat="1" applyFont="1" applyFill="1" applyBorder="1"/>
    <xf numFmtId="0" fontId="14" fillId="8" borderId="9" xfId="0" applyFont="1" applyFill="1" applyBorder="1"/>
    <xf numFmtId="0" fontId="14" fillId="8" borderId="11" xfId="0" applyFont="1" applyFill="1" applyBorder="1"/>
    <xf numFmtId="164" fontId="25" fillId="0" borderId="0" xfId="0" applyNumberFormat="1" applyFont="1" applyFill="1" applyBorder="1" applyAlignment="1">
      <alignment horizontal="right"/>
    </xf>
    <xf numFmtId="6" fontId="25" fillId="0" borderId="0" xfId="0" applyNumberFormat="1" applyFont="1" applyFill="1" applyBorder="1" applyAlignment="1">
      <alignment horizontal="right" vertical="center"/>
    </xf>
    <xf numFmtId="6" fontId="25" fillId="0" borderId="0" xfId="0" applyNumberFormat="1" applyFont="1" applyFill="1" applyBorder="1" applyAlignment="1">
      <alignment horizontal="right"/>
    </xf>
    <xf numFmtId="6" fontId="17" fillId="8" borderId="10" xfId="0" applyNumberFormat="1" applyFont="1" applyFill="1" applyBorder="1" applyAlignment="1">
      <alignment horizontal="right" vertical="center"/>
    </xf>
    <xf numFmtId="5" fontId="26" fillId="0" borderId="0" xfId="0" applyNumberFormat="1" applyFont="1" applyFill="1" applyBorder="1" applyAlignment="1">
      <alignment horizontal="right"/>
    </xf>
    <xf numFmtId="9" fontId="14" fillId="8" borderId="12" xfId="0" applyNumberFormat="1" applyFont="1" applyFill="1" applyBorder="1"/>
    <xf numFmtId="9" fontId="14" fillId="8" borderId="8" xfId="0" applyNumberFormat="1" applyFont="1" applyFill="1" applyBorder="1"/>
    <xf numFmtId="166" fontId="14" fillId="8" borderId="8" xfId="0" applyNumberFormat="1" applyFont="1" applyFill="1" applyBorder="1"/>
    <xf numFmtId="0" fontId="17" fillId="8" borderId="13" xfId="0" applyFont="1" applyFill="1" applyBorder="1"/>
    <xf numFmtId="9" fontId="17" fillId="8" borderId="14" xfId="0" applyNumberFormat="1" applyFont="1" applyFill="1" applyBorder="1"/>
    <xf numFmtId="164" fontId="17" fillId="8" borderId="15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vertical="center"/>
    </xf>
    <xf numFmtId="9" fontId="14" fillId="0" borderId="4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9" fontId="14" fillId="3" borderId="5" xfId="0" applyNumberFormat="1" applyFont="1" applyFill="1" applyBorder="1" applyAlignment="1">
      <alignment vertical="center"/>
    </xf>
    <xf numFmtId="9" fontId="25" fillId="0" borderId="17" xfId="0" applyNumberFormat="1" applyFont="1" applyFill="1" applyBorder="1" applyAlignment="1">
      <alignment horizontal="center"/>
    </xf>
    <xf numFmtId="9" fontId="27" fillId="0" borderId="17" xfId="0" applyNumberFormat="1" applyFont="1" applyFill="1" applyBorder="1" applyAlignment="1">
      <alignment horizontal="center"/>
    </xf>
    <xf numFmtId="9" fontId="14" fillId="8" borderId="9" xfId="0" applyNumberFormat="1" applyFont="1" applyFill="1" applyBorder="1" applyAlignment="1">
      <alignment horizontal="center"/>
    </xf>
    <xf numFmtId="9" fontId="14" fillId="0" borderId="17" xfId="0" applyNumberFormat="1" applyFont="1" applyFill="1" applyBorder="1" applyAlignment="1">
      <alignment horizontal="center"/>
    </xf>
    <xf numFmtId="0" fontId="0" fillId="0" borderId="21" xfId="0" applyBorder="1"/>
    <xf numFmtId="164" fontId="0" fillId="0" borderId="0" xfId="0" applyNumberFormat="1" applyAlignment="1">
      <alignment horizontal="left"/>
    </xf>
    <xf numFmtId="164" fontId="25" fillId="0" borderId="18" xfId="0" applyNumberFormat="1" applyFont="1" applyFill="1" applyBorder="1" applyAlignment="1">
      <alignment horizontal="center"/>
    </xf>
    <xf numFmtId="9" fontId="25" fillId="0" borderId="17" xfId="0" applyNumberFormat="1" applyFont="1" applyFill="1" applyBorder="1" applyAlignment="1">
      <alignment horizontal="left" vertical="center"/>
    </xf>
    <xf numFmtId="0" fontId="21" fillId="0" borderId="4" xfId="0" applyFont="1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30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horizontal="centerContinuous" vertical="center"/>
      <protection locked="0"/>
    </xf>
    <xf numFmtId="9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6" fontId="25" fillId="0" borderId="18" xfId="0" applyNumberFormat="1" applyFont="1" applyFill="1" applyBorder="1" applyAlignment="1" applyProtection="1">
      <alignment horizontal="center" vertical="center"/>
    </xf>
    <xf numFmtId="6" fontId="25" fillId="0" borderId="18" xfId="0" applyNumberFormat="1" applyFont="1" applyFill="1" applyBorder="1" applyAlignment="1" applyProtection="1">
      <alignment horizontal="center"/>
    </xf>
    <xf numFmtId="164" fontId="25" fillId="0" borderId="18" xfId="0" applyNumberFormat="1" applyFont="1" applyFill="1" applyBorder="1" applyAlignment="1" applyProtection="1">
      <alignment horizontal="center"/>
    </xf>
    <xf numFmtId="6" fontId="17" fillId="8" borderId="8" xfId="0" applyNumberFormat="1" applyFont="1" applyFill="1" applyBorder="1" applyAlignment="1" applyProtection="1">
      <alignment horizontal="center" vertical="center"/>
    </xf>
    <xf numFmtId="5" fontId="26" fillId="0" borderId="18" xfId="0" applyNumberFormat="1" applyFont="1" applyFill="1" applyBorder="1" applyAlignment="1" applyProtection="1">
      <alignment horizontal="center"/>
    </xf>
    <xf numFmtId="164" fontId="17" fillId="8" borderId="14" xfId="0" applyNumberFormat="1" applyFont="1" applyFill="1" applyBorder="1" applyAlignment="1" applyProtection="1">
      <alignment horizontal="center"/>
    </xf>
    <xf numFmtId="9" fontId="17" fillId="8" borderId="16" xfId="0" applyNumberFormat="1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6" fontId="14" fillId="8" borderId="8" xfId="0" applyNumberFormat="1" applyFont="1" applyFill="1" applyBorder="1" applyAlignment="1" applyProtection="1">
      <alignment horizontal="center"/>
    </xf>
    <xf numFmtId="9" fontId="14" fillId="8" borderId="12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Protection="1"/>
    <xf numFmtId="0" fontId="14" fillId="0" borderId="10" xfId="0" applyFont="1" applyFill="1" applyBorder="1" applyProtection="1"/>
    <xf numFmtId="0" fontId="17" fillId="0" borderId="2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3" fontId="0" fillId="0" borderId="0" xfId="0" applyNumberFormat="1" applyAlignment="1" applyProtection="1">
      <alignment horizontal="left"/>
    </xf>
    <xf numFmtId="9" fontId="28" fillId="0" borderId="23" xfId="0" applyNumberFormat="1" applyFont="1" applyFill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Continuous" vertical="center"/>
      <protection locked="0"/>
    </xf>
    <xf numFmtId="164" fontId="32" fillId="0" borderId="0" xfId="0" applyNumberFormat="1" applyFont="1" applyAlignment="1">
      <alignment horizontal="left"/>
    </xf>
    <xf numFmtId="166" fontId="25" fillId="0" borderId="17" xfId="0" applyNumberFormat="1" applyFont="1" applyFill="1" applyBorder="1" applyAlignment="1">
      <alignment horizontal="center"/>
    </xf>
    <xf numFmtId="0" fontId="33" fillId="0" borderId="0" xfId="0" applyFont="1" applyAlignment="1" applyProtection="1">
      <alignment horizontal="centerContinuous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99"/>
      <color rgb="FFFFFF99"/>
      <color rgb="FFFFFF66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819151</xdr:colOff>
      <xdr:row>0</xdr:row>
      <xdr:rowOff>28576</xdr:rowOff>
    </xdr:from>
    <xdr:to>
      <xdr:col>6</xdr:col>
      <xdr:colOff>104776</xdr:colOff>
      <xdr:row>1</xdr:row>
      <xdr:rowOff>178417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6" y="28576"/>
          <a:ext cx="1333500" cy="626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38100</xdr:rowOff>
    </xdr:from>
    <xdr:to>
      <xdr:col>4</xdr:col>
      <xdr:colOff>574337</xdr:colOff>
      <xdr:row>3</xdr:row>
      <xdr:rowOff>9524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1117262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2933700</xdr:colOff>
      <xdr:row>0</xdr:row>
      <xdr:rowOff>0</xdr:rowOff>
    </xdr:from>
    <xdr:to>
      <xdr:col>1</xdr:col>
      <xdr:colOff>828932</xdr:colOff>
      <xdr:row>1</xdr:row>
      <xdr:rowOff>257175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0"/>
          <a:ext cx="1629032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0</xdr:row>
      <xdr:rowOff>0</xdr:rowOff>
    </xdr:from>
    <xdr:to>
      <xdr:col>1</xdr:col>
      <xdr:colOff>3095882</xdr:colOff>
      <xdr:row>2</xdr:row>
      <xdr:rowOff>0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0"/>
          <a:ext cx="1629032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4</xdr:col>
      <xdr:colOff>1041062</xdr:colOff>
      <xdr:row>3</xdr:row>
      <xdr:rowOff>161924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50" y="190500"/>
          <a:ext cx="993437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3009900</xdr:colOff>
      <xdr:row>0</xdr:row>
      <xdr:rowOff>0</xdr:rowOff>
    </xdr:from>
    <xdr:to>
      <xdr:col>0</xdr:col>
      <xdr:colOff>4638932</xdr:colOff>
      <xdr:row>2</xdr:row>
      <xdr:rowOff>0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900" y="0"/>
          <a:ext cx="162903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847726</xdr:colOff>
      <xdr:row>0</xdr:row>
      <xdr:rowOff>28576</xdr:rowOff>
    </xdr:from>
    <xdr:to>
      <xdr:col>6</xdr:col>
      <xdr:colOff>133351</xdr:colOff>
      <xdr:row>1</xdr:row>
      <xdr:rowOff>178417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1" y="28576"/>
          <a:ext cx="1428750" cy="626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5</xdr:col>
      <xdr:colOff>228600</xdr:colOff>
      <xdr:row>29</xdr:row>
      <xdr:rowOff>188313</xdr:rowOff>
    </xdr:to>
    <xdr:pic>
      <xdr:nvPicPr>
        <xdr:cNvPr id="3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5895975"/>
          <a:ext cx="1114425" cy="67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200025</xdr:colOff>
      <xdr:row>1</xdr:row>
      <xdr:rowOff>149841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0"/>
          <a:ext cx="1428750" cy="626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1962151</xdr:colOff>
      <xdr:row>0</xdr:row>
      <xdr:rowOff>9526</xdr:rowOff>
    </xdr:from>
    <xdr:to>
      <xdr:col>1</xdr:col>
      <xdr:colOff>3193713</xdr:colOff>
      <xdr:row>1</xdr:row>
      <xdr:rowOff>361950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6" y="9526"/>
          <a:ext cx="1231562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33</xdr:row>
      <xdr:rowOff>19050</xdr:rowOff>
    </xdr:from>
    <xdr:to>
      <xdr:col>1</xdr:col>
      <xdr:colOff>3107987</xdr:colOff>
      <xdr:row>35</xdr:row>
      <xdr:rowOff>57149</xdr:rowOff>
    </xdr:to>
    <xdr:pic>
      <xdr:nvPicPr>
        <xdr:cNvPr id="3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900" y="7096125"/>
          <a:ext cx="1231562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0</xdr:row>
      <xdr:rowOff>28575</xdr:rowOff>
    </xdr:from>
    <xdr:to>
      <xdr:col>1</xdr:col>
      <xdr:colOff>2257425</xdr:colOff>
      <xdr:row>1</xdr:row>
      <xdr:rowOff>228600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28575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1371600</xdr:colOff>
      <xdr:row>33</xdr:row>
      <xdr:rowOff>9525</xdr:rowOff>
    </xdr:from>
    <xdr:to>
      <xdr:col>1</xdr:col>
      <xdr:colOff>2228850</xdr:colOff>
      <xdr:row>34</xdr:row>
      <xdr:rowOff>209550</xdr:rowOff>
    </xdr:to>
    <xdr:pic>
      <xdr:nvPicPr>
        <xdr:cNvPr id="4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9525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0</xdr:row>
      <xdr:rowOff>9525</xdr:rowOff>
    </xdr:from>
    <xdr:to>
      <xdr:col>1</xdr:col>
      <xdr:colOff>2552957</xdr:colOff>
      <xdr:row>1</xdr:row>
      <xdr:rowOff>190500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9525"/>
          <a:ext cx="1019432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1685924</xdr:colOff>
      <xdr:row>33</xdr:row>
      <xdr:rowOff>0</xdr:rowOff>
    </xdr:from>
    <xdr:to>
      <xdr:col>1</xdr:col>
      <xdr:colOff>2913877</xdr:colOff>
      <xdr:row>35</xdr:row>
      <xdr:rowOff>9525</xdr:rowOff>
    </xdr:to>
    <xdr:pic>
      <xdr:nvPicPr>
        <xdr:cNvPr id="3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399" y="6981825"/>
          <a:ext cx="1227953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33</xdr:row>
      <xdr:rowOff>28575</xdr:rowOff>
    </xdr:from>
    <xdr:to>
      <xdr:col>1</xdr:col>
      <xdr:colOff>2562225</xdr:colOff>
      <xdr:row>35</xdr:row>
      <xdr:rowOff>28575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50" y="7105650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1695450</xdr:colOff>
      <xdr:row>0</xdr:row>
      <xdr:rowOff>0</xdr:rowOff>
    </xdr:from>
    <xdr:to>
      <xdr:col>1</xdr:col>
      <xdr:colOff>2552700</xdr:colOff>
      <xdr:row>1</xdr:row>
      <xdr:rowOff>228600</xdr:rowOff>
    </xdr:to>
    <xdr:pic>
      <xdr:nvPicPr>
        <xdr:cNvPr id="3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0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0</xdr:rowOff>
    </xdr:from>
    <xdr:to>
      <xdr:col>1</xdr:col>
      <xdr:colOff>2600325</xdr:colOff>
      <xdr:row>2</xdr:row>
      <xdr:rowOff>28575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1952625</xdr:colOff>
      <xdr:row>33</xdr:row>
      <xdr:rowOff>180975</xdr:rowOff>
    </xdr:from>
    <xdr:to>
      <xdr:col>1</xdr:col>
      <xdr:colOff>2809875</xdr:colOff>
      <xdr:row>36</xdr:row>
      <xdr:rowOff>76200</xdr:rowOff>
    </xdr:to>
    <xdr:pic>
      <xdr:nvPicPr>
        <xdr:cNvPr id="3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7124700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171450</xdr:rowOff>
    </xdr:from>
    <xdr:to>
      <xdr:col>2</xdr:col>
      <xdr:colOff>1346888</xdr:colOff>
      <xdr:row>2</xdr:row>
      <xdr:rowOff>209550</xdr:rowOff>
    </xdr:to>
    <xdr:pic>
      <xdr:nvPicPr>
        <xdr:cNvPr id="2" name="Picture 41" descr="Paulm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171450"/>
          <a:ext cx="1318313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opLeftCell="A19" workbookViewId="0">
      <selection activeCell="G1" sqref="G1"/>
    </sheetView>
  </sheetViews>
  <sheetFormatPr defaultRowHeight="15"/>
  <cols>
    <col min="1" max="1" width="5" customWidth="1"/>
    <col min="2" max="2" width="37.42578125" customWidth="1"/>
    <col min="3" max="3" width="13.7109375" customWidth="1"/>
    <col min="5" max="5" width="2.7109375" customWidth="1"/>
    <col min="6" max="6" width="5.140625" customWidth="1"/>
    <col min="7" max="7" width="35.85546875" customWidth="1"/>
    <col min="8" max="8" width="13.140625" customWidth="1"/>
  </cols>
  <sheetData>
    <row r="1" spans="1:9" ht="37.5" customHeight="1"/>
    <row r="2" spans="1:9" ht="18.75" customHeight="1"/>
    <row r="3" spans="1:9">
      <c r="A3" s="5" t="s">
        <v>17</v>
      </c>
      <c r="B3" s="4"/>
      <c r="C3" s="4"/>
      <c r="D3" s="4"/>
      <c r="E3" s="4"/>
      <c r="F3" s="4"/>
      <c r="G3" s="4"/>
      <c r="H3" s="4"/>
    </row>
    <row r="4" spans="1:9" ht="24" customHeight="1">
      <c r="A4" s="19" t="s">
        <v>44</v>
      </c>
      <c r="B4" s="4"/>
      <c r="C4" s="4"/>
      <c r="D4" s="4"/>
      <c r="E4" s="4"/>
      <c r="F4" s="4"/>
      <c r="G4" s="4"/>
      <c r="H4" s="4"/>
    </row>
    <row r="5" spans="1:9" ht="24" customHeight="1"/>
    <row r="6" spans="1:9" ht="19.5" thickBot="1">
      <c r="A6" s="31" t="s">
        <v>45</v>
      </c>
      <c r="B6" s="31"/>
      <c r="C6" s="32"/>
      <c r="D6" s="31"/>
      <c r="E6" s="31"/>
      <c r="F6" s="31"/>
      <c r="G6" s="31"/>
      <c r="H6" s="32"/>
      <c r="I6" s="20"/>
    </row>
    <row r="7" spans="1:9" ht="15.75" thickTop="1">
      <c r="A7" s="12"/>
      <c r="B7" s="7" t="s">
        <v>48</v>
      </c>
      <c r="C7" s="12"/>
      <c r="D7" s="20"/>
      <c r="E7" s="20"/>
      <c r="F7" s="12"/>
      <c r="G7" s="7" t="s">
        <v>49</v>
      </c>
      <c r="H7" s="12"/>
      <c r="I7" s="20"/>
    </row>
    <row r="8" spans="1:9">
      <c r="A8">
        <v>1</v>
      </c>
      <c r="B8" t="s">
        <v>35</v>
      </c>
      <c r="C8" s="1">
        <v>3</v>
      </c>
      <c r="D8" s="20"/>
      <c r="E8" s="20"/>
      <c r="F8">
        <v>1</v>
      </c>
      <c r="G8" t="s">
        <v>35</v>
      </c>
      <c r="H8" s="1">
        <v>8</v>
      </c>
      <c r="I8" s="20"/>
    </row>
    <row r="9" spans="1:9">
      <c r="A9">
        <v>2</v>
      </c>
      <c r="B9" t="s">
        <v>0</v>
      </c>
      <c r="C9">
        <v>1</v>
      </c>
      <c r="D9" s="20"/>
      <c r="E9" s="20"/>
      <c r="F9">
        <v>2</v>
      </c>
      <c r="G9" t="s">
        <v>0</v>
      </c>
      <c r="H9">
        <v>3</v>
      </c>
      <c r="I9" s="20"/>
    </row>
    <row r="10" spans="1:9">
      <c r="A10">
        <v>3</v>
      </c>
      <c r="B10" t="s">
        <v>1</v>
      </c>
      <c r="C10">
        <v>2</v>
      </c>
      <c r="D10" s="20"/>
      <c r="E10" s="20"/>
      <c r="F10">
        <v>3</v>
      </c>
      <c r="G10" t="s">
        <v>1</v>
      </c>
      <c r="H10">
        <v>3</v>
      </c>
      <c r="I10" s="20"/>
    </row>
    <row r="11" spans="1:9">
      <c r="A11" s="20">
        <v>4</v>
      </c>
      <c r="B11" s="20" t="s">
        <v>2</v>
      </c>
      <c r="C11" s="20">
        <v>0.5</v>
      </c>
      <c r="D11" s="20"/>
      <c r="E11" s="20"/>
      <c r="F11" s="20">
        <v>4</v>
      </c>
      <c r="G11" s="20" t="s">
        <v>2</v>
      </c>
      <c r="H11" s="20">
        <v>1</v>
      </c>
      <c r="I11" s="20"/>
    </row>
    <row r="12" spans="1:9">
      <c r="A12" s="12">
        <v>5</v>
      </c>
      <c r="B12" s="45" t="s">
        <v>69</v>
      </c>
      <c r="C12" s="12">
        <v>1</v>
      </c>
      <c r="D12" s="12"/>
      <c r="E12" s="12"/>
      <c r="F12" s="12">
        <v>5</v>
      </c>
      <c r="G12" s="45" t="s">
        <v>69</v>
      </c>
      <c r="H12" s="12">
        <v>1</v>
      </c>
      <c r="I12" s="20"/>
    </row>
    <row r="13" spans="1:9">
      <c r="A13">
        <v>6</v>
      </c>
      <c r="B13" t="s">
        <v>3</v>
      </c>
      <c r="C13" s="41" t="s">
        <v>50</v>
      </c>
      <c r="F13">
        <v>5</v>
      </c>
      <c r="G13" t="s">
        <v>3</v>
      </c>
      <c r="H13" s="41" t="s">
        <v>50</v>
      </c>
    </row>
    <row r="14" spans="1:9">
      <c r="A14">
        <v>7</v>
      </c>
      <c r="B14" t="s">
        <v>4</v>
      </c>
      <c r="C14" s="2">
        <v>0.25</v>
      </c>
      <c r="F14">
        <v>6</v>
      </c>
      <c r="G14" t="s">
        <v>4</v>
      </c>
      <c r="H14" s="2">
        <v>0.25</v>
      </c>
    </row>
    <row r="15" spans="1:9">
      <c r="A15">
        <v>8</v>
      </c>
      <c r="B15" t="s">
        <v>5</v>
      </c>
      <c r="C15" s="8">
        <v>0.25</v>
      </c>
      <c r="F15">
        <v>7</v>
      </c>
      <c r="G15" t="s">
        <v>5</v>
      </c>
      <c r="H15" s="8">
        <v>0.25</v>
      </c>
    </row>
    <row r="16" spans="1:9">
      <c r="A16">
        <v>9</v>
      </c>
      <c r="B16" t="s">
        <v>6</v>
      </c>
      <c r="C16" s="3">
        <f>C8*C15*1000000</f>
        <v>750000</v>
      </c>
      <c r="F16">
        <v>8</v>
      </c>
      <c r="G16" t="s">
        <v>6</v>
      </c>
      <c r="H16" s="3">
        <f>H8*H15*1000000</f>
        <v>2000000</v>
      </c>
    </row>
    <row r="17" spans="1:9">
      <c r="A17">
        <v>10</v>
      </c>
      <c r="B17" t="s">
        <v>10</v>
      </c>
      <c r="C17" s="2">
        <v>0.12</v>
      </c>
      <c r="F17">
        <v>9</v>
      </c>
      <c r="G17" t="s">
        <v>10</v>
      </c>
      <c r="H17" s="2">
        <v>0.12</v>
      </c>
    </row>
    <row r="18" spans="1:9">
      <c r="A18">
        <v>11</v>
      </c>
      <c r="B18" t="s">
        <v>11</v>
      </c>
      <c r="C18" s="11">
        <f>C16*C17</f>
        <v>90000</v>
      </c>
      <c r="F18">
        <v>10</v>
      </c>
      <c r="G18" t="s">
        <v>11</v>
      </c>
      <c r="H18" s="11">
        <f>H16*H17</f>
        <v>240000</v>
      </c>
    </row>
    <row r="19" spans="1:9">
      <c r="A19">
        <v>12</v>
      </c>
      <c r="B19" t="s">
        <v>21</v>
      </c>
      <c r="C19" s="2">
        <v>0.3</v>
      </c>
      <c r="F19">
        <v>11</v>
      </c>
      <c r="G19" t="s">
        <v>21</v>
      </c>
      <c r="H19" s="2">
        <v>0.3</v>
      </c>
    </row>
    <row r="20" spans="1:9">
      <c r="A20">
        <v>13</v>
      </c>
      <c r="B20" t="s">
        <v>22</v>
      </c>
      <c r="C20" s="3">
        <f>C18*C19</f>
        <v>27000</v>
      </c>
      <c r="F20">
        <v>12</v>
      </c>
      <c r="G20" t="s">
        <v>22</v>
      </c>
      <c r="H20" s="3">
        <f>H18*H19</f>
        <v>72000</v>
      </c>
    </row>
    <row r="21" spans="1:9" ht="24.75" customHeight="1" thickBot="1">
      <c r="A21" s="9">
        <v>14</v>
      </c>
      <c r="B21" s="9" t="s">
        <v>7</v>
      </c>
      <c r="C21" s="10">
        <f>C18-C20</f>
        <v>63000</v>
      </c>
      <c r="D21" s="6"/>
      <c r="E21" s="6"/>
      <c r="F21" s="9">
        <v>13</v>
      </c>
      <c r="G21" s="9" t="s">
        <v>7</v>
      </c>
      <c r="H21" s="10">
        <f>H18-H20</f>
        <v>168000</v>
      </c>
    </row>
    <row r="22" spans="1:9" ht="15.75" thickTop="1">
      <c r="A22" s="16" t="s">
        <v>24</v>
      </c>
      <c r="F22" s="16" t="s">
        <v>24</v>
      </c>
    </row>
    <row r="23" spans="1:9">
      <c r="A23" s="35">
        <v>14</v>
      </c>
      <c r="B23" t="s">
        <v>39</v>
      </c>
      <c r="C23" s="2">
        <v>0.08</v>
      </c>
      <c r="F23" s="35">
        <v>14</v>
      </c>
      <c r="G23" t="s">
        <v>39</v>
      </c>
      <c r="H23" s="2">
        <v>0.08</v>
      </c>
    </row>
    <row r="24" spans="1:9">
      <c r="A24">
        <v>15</v>
      </c>
      <c r="B24" t="s">
        <v>42</v>
      </c>
      <c r="C24" s="3">
        <f>C8*1000000*C17*C23</f>
        <v>28800</v>
      </c>
      <c r="F24">
        <v>15</v>
      </c>
      <c r="G24" t="s">
        <v>42</v>
      </c>
      <c r="H24" s="3">
        <f>H8*1000000*H17*H23</f>
        <v>76800</v>
      </c>
    </row>
    <row r="25" spans="1:9">
      <c r="A25">
        <v>16</v>
      </c>
      <c r="B25" t="s">
        <v>16</v>
      </c>
      <c r="C25" s="3">
        <f>C24+C21</f>
        <v>91800</v>
      </c>
      <c r="F25">
        <v>16</v>
      </c>
      <c r="G25" t="s">
        <v>16</v>
      </c>
      <c r="H25" s="3">
        <f>H24+H21</f>
        <v>244800</v>
      </c>
    </row>
    <row r="26" spans="1:9">
      <c r="A26" s="17">
        <v>17</v>
      </c>
      <c r="B26" s="17" t="s">
        <v>24</v>
      </c>
      <c r="C26" s="18">
        <f>(C25-C24)/C24</f>
        <v>2.1875</v>
      </c>
      <c r="F26" s="17">
        <v>17</v>
      </c>
      <c r="G26" s="17" t="s">
        <v>24</v>
      </c>
      <c r="H26" s="18">
        <f>(H25-H24)/H24</f>
        <v>2.1875</v>
      </c>
    </row>
    <row r="27" spans="1:9" ht="19.5" thickBot="1">
      <c r="A27" s="31" t="s">
        <v>37</v>
      </c>
      <c r="B27" s="31"/>
      <c r="C27" s="32"/>
      <c r="D27" s="31"/>
      <c r="E27" s="31"/>
      <c r="F27" s="31"/>
      <c r="G27" s="31"/>
      <c r="H27" s="32"/>
      <c r="I27" s="20"/>
    </row>
    <row r="28" spans="1:9" ht="19.5" thickTop="1">
      <c r="A28" s="39"/>
      <c r="B28" s="39"/>
      <c r="C28" s="40"/>
      <c r="D28" s="39"/>
      <c r="E28" s="39"/>
      <c r="F28" s="39"/>
      <c r="G28" s="39"/>
      <c r="H28" s="40"/>
      <c r="I28" s="20"/>
    </row>
    <row r="29" spans="1:9">
      <c r="A29" s="12"/>
      <c r="B29" s="7" t="s">
        <v>8</v>
      </c>
      <c r="C29" s="12"/>
      <c r="D29" s="20"/>
      <c r="E29" s="20"/>
      <c r="F29" s="12"/>
      <c r="G29" s="7" t="s">
        <v>9</v>
      </c>
      <c r="H29" s="12"/>
      <c r="I29" s="20"/>
    </row>
    <row r="30" spans="1:9">
      <c r="A30" s="26"/>
      <c r="B30" s="26" t="s">
        <v>35</v>
      </c>
      <c r="C30" s="27">
        <v>3</v>
      </c>
      <c r="D30" s="20"/>
      <c r="E30" s="20"/>
      <c r="F30" s="26"/>
      <c r="G30" s="26" t="s">
        <v>35</v>
      </c>
      <c r="H30" s="27">
        <v>8</v>
      </c>
      <c r="I30" s="20"/>
    </row>
    <row r="31" spans="1:9">
      <c r="A31" s="20"/>
      <c r="B31" s="20"/>
      <c r="C31" s="28"/>
      <c r="D31" s="20"/>
      <c r="E31" s="20"/>
      <c r="F31" s="20"/>
      <c r="G31" s="20"/>
      <c r="H31" s="28"/>
      <c r="I31" s="20"/>
    </row>
    <row r="32" spans="1:9">
      <c r="A32" s="16" t="s">
        <v>30</v>
      </c>
      <c r="F32" s="16" t="s">
        <v>30</v>
      </c>
    </row>
    <row r="33" spans="1:8">
      <c r="A33">
        <v>18</v>
      </c>
      <c r="B33" t="s">
        <v>12</v>
      </c>
      <c r="C33" s="11">
        <v>3800</v>
      </c>
      <c r="F33">
        <v>14</v>
      </c>
      <c r="G33" t="s">
        <v>12</v>
      </c>
      <c r="H33" s="11">
        <v>5000</v>
      </c>
    </row>
    <row r="34" spans="1:8">
      <c r="A34">
        <v>19</v>
      </c>
      <c r="B34" t="s">
        <v>13</v>
      </c>
      <c r="C34" s="22">
        <f>C8*1000000*(1+C15)/C33</f>
        <v>986.84210526315792</v>
      </c>
      <c r="F34">
        <v>15</v>
      </c>
      <c r="G34" t="s">
        <v>13</v>
      </c>
      <c r="H34" s="24">
        <f>H8*1000000*(1+H15)/H33</f>
        <v>2000</v>
      </c>
    </row>
    <row r="35" spans="1:8">
      <c r="A35">
        <v>20</v>
      </c>
      <c r="B35" t="s">
        <v>19</v>
      </c>
      <c r="C35" s="23">
        <v>50</v>
      </c>
      <c r="F35">
        <v>16</v>
      </c>
      <c r="G35" t="s">
        <v>19</v>
      </c>
      <c r="H35" s="23">
        <v>50</v>
      </c>
    </row>
    <row r="36" spans="1:8">
      <c r="A36">
        <v>21</v>
      </c>
      <c r="B36" t="s">
        <v>18</v>
      </c>
      <c r="C36" s="23">
        <f>C34*C35</f>
        <v>49342.105263157893</v>
      </c>
      <c r="F36">
        <v>17</v>
      </c>
      <c r="G36" t="s">
        <v>18</v>
      </c>
      <c r="H36" s="23">
        <f>H34*H35</f>
        <v>100000</v>
      </c>
    </row>
    <row r="37" spans="1:8">
      <c r="A37" s="16" t="s">
        <v>31</v>
      </c>
      <c r="C37" s="11"/>
      <c r="F37" s="16" t="s">
        <v>25</v>
      </c>
      <c r="H37" s="11"/>
    </row>
    <row r="38" spans="1:8">
      <c r="A38">
        <v>22</v>
      </c>
      <c r="B38" t="s">
        <v>26</v>
      </c>
      <c r="C38" s="11">
        <f>C25</f>
        <v>91800</v>
      </c>
      <c r="F38">
        <v>21</v>
      </c>
      <c r="G38" t="s">
        <v>26</v>
      </c>
      <c r="H38" s="11">
        <f>H25</f>
        <v>244800</v>
      </c>
    </row>
    <row r="39" spans="1:8">
      <c r="A39">
        <v>23</v>
      </c>
      <c r="B39" t="s">
        <v>27</v>
      </c>
      <c r="C39" s="3">
        <f>-C36</f>
        <v>-49342.105263157893</v>
      </c>
      <c r="F39">
        <v>22</v>
      </c>
      <c r="G39" t="s">
        <v>27</v>
      </c>
      <c r="H39" s="3">
        <f>-H36</f>
        <v>-100000</v>
      </c>
    </row>
    <row r="40" spans="1:8">
      <c r="A40">
        <v>24</v>
      </c>
      <c r="B40" t="s">
        <v>28</v>
      </c>
      <c r="C40" s="11">
        <f>C38+C39</f>
        <v>42457.894736842107</v>
      </c>
      <c r="F40">
        <v>23</v>
      </c>
      <c r="G40" t="s">
        <v>28</v>
      </c>
      <c r="H40" s="11">
        <f>H38+H39</f>
        <v>144800</v>
      </c>
    </row>
    <row r="41" spans="1:8">
      <c r="A41">
        <v>26</v>
      </c>
      <c r="B41" s="17" t="s">
        <v>33</v>
      </c>
      <c r="C41" s="18">
        <f>(C40-C24)/C24</f>
        <v>0.47423245614035092</v>
      </c>
      <c r="F41">
        <v>24</v>
      </c>
      <c r="G41" s="17" t="s">
        <v>33</v>
      </c>
      <c r="H41" s="18">
        <f>(H40-H24)/H24</f>
        <v>0.88541666666666663</v>
      </c>
    </row>
    <row r="42" spans="1:8">
      <c r="A42" s="16" t="s">
        <v>34</v>
      </c>
      <c r="F42" s="16" t="s">
        <v>34</v>
      </c>
    </row>
    <row r="43" spans="1:8">
      <c r="A43">
        <v>27</v>
      </c>
      <c r="B43" t="s">
        <v>14</v>
      </c>
      <c r="C43" s="15">
        <v>20</v>
      </c>
      <c r="F43">
        <v>18</v>
      </c>
      <c r="G43" t="s">
        <v>14</v>
      </c>
      <c r="H43" s="15">
        <v>20</v>
      </c>
    </row>
    <row r="44" spans="1:8">
      <c r="A44">
        <v>28</v>
      </c>
      <c r="B44" t="s">
        <v>15</v>
      </c>
      <c r="C44" s="11">
        <f>C34*C43</f>
        <v>19736.84210526316</v>
      </c>
      <c r="F44">
        <v>19</v>
      </c>
      <c r="G44" t="s">
        <v>15</v>
      </c>
      <c r="H44" s="11">
        <f>H34*H43</f>
        <v>40000</v>
      </c>
    </row>
    <row r="46" spans="1:8" ht="15.75" thickBot="1">
      <c r="B46" s="38" t="s">
        <v>38</v>
      </c>
      <c r="C46" s="33"/>
      <c r="G46" s="38" t="s">
        <v>38</v>
      </c>
      <c r="H46" s="33"/>
    </row>
    <row r="47" spans="1:8" ht="15.75" thickTop="1">
      <c r="B47" t="s">
        <v>39</v>
      </c>
      <c r="C47" s="2">
        <f>C23</f>
        <v>0.08</v>
      </c>
      <c r="G47" t="s">
        <v>39</v>
      </c>
      <c r="H47" s="2">
        <f>H23</f>
        <v>0.08</v>
      </c>
    </row>
    <row r="48" spans="1:8">
      <c r="B48" t="s">
        <v>40</v>
      </c>
      <c r="C48" s="2">
        <f>1-C19</f>
        <v>0.7</v>
      </c>
      <c r="G48" t="s">
        <v>40</v>
      </c>
      <c r="H48" s="2">
        <f>1-H19</f>
        <v>0.7</v>
      </c>
    </row>
    <row r="49" spans="1:8">
      <c r="B49" s="12" t="s">
        <v>41</v>
      </c>
      <c r="C49" s="34">
        <f>C40/(C8*1000000+C16)/C17</f>
        <v>9.4350877192982463E-2</v>
      </c>
      <c r="G49" s="12" t="s">
        <v>41</v>
      </c>
      <c r="H49" s="34">
        <f>H40/(H8*1000000+H16)/H17</f>
        <v>0.12066666666666667</v>
      </c>
    </row>
    <row r="50" spans="1:8" ht="15.75" thickBot="1">
      <c r="B50" s="36" t="s">
        <v>43</v>
      </c>
      <c r="C50" s="37">
        <f>(C49-C47)/C47</f>
        <v>0.17938596491228076</v>
      </c>
      <c r="G50" s="36" t="s">
        <v>43</v>
      </c>
      <c r="H50" s="37">
        <f>(H49-H47)/H47</f>
        <v>0.50833333333333341</v>
      </c>
    </row>
    <row r="51" spans="1:8" ht="15.75" thickTop="1"/>
    <row r="62" spans="1:8" ht="24.75" customHeight="1" thickBot="1">
      <c r="A62" s="46" t="s">
        <v>83</v>
      </c>
      <c r="B62" s="46"/>
      <c r="C62" s="46"/>
      <c r="D62" s="46"/>
      <c r="E62" s="46"/>
      <c r="F62" s="46"/>
      <c r="G62" s="46"/>
      <c r="H62" s="46"/>
    </row>
    <row r="63" spans="1:8" ht="15.75" thickTop="1">
      <c r="B63" s="16" t="s">
        <v>52</v>
      </c>
      <c r="G63" s="16" t="s">
        <v>52</v>
      </c>
    </row>
    <row r="64" spans="1:8">
      <c r="A64">
        <v>1</v>
      </c>
      <c r="B64" t="s">
        <v>1</v>
      </c>
      <c r="C64">
        <f>C10</f>
        <v>2</v>
      </c>
      <c r="F64">
        <v>1</v>
      </c>
      <c r="G64" t="s">
        <v>1</v>
      </c>
      <c r="H64">
        <f>H10</f>
        <v>3</v>
      </c>
    </row>
    <row r="65" spans="1:8">
      <c r="A65" s="20">
        <v>2</v>
      </c>
      <c r="B65" s="20" t="s">
        <v>2</v>
      </c>
      <c r="C65" s="20">
        <f>C11</f>
        <v>0.5</v>
      </c>
      <c r="F65" s="20">
        <v>2</v>
      </c>
      <c r="G65" s="20" t="s">
        <v>2</v>
      </c>
      <c r="H65" s="20">
        <f>H11</f>
        <v>1</v>
      </c>
    </row>
    <row r="66" spans="1:8">
      <c r="A66">
        <v>3</v>
      </c>
      <c r="B66" t="s">
        <v>0</v>
      </c>
      <c r="C66">
        <f>C9</f>
        <v>1</v>
      </c>
      <c r="F66">
        <v>3</v>
      </c>
      <c r="G66" t="s">
        <v>0</v>
      </c>
      <c r="H66">
        <f>H9</f>
        <v>3</v>
      </c>
    </row>
    <row r="67" spans="1:8">
      <c r="A67">
        <v>4</v>
      </c>
      <c r="B67" t="s">
        <v>53</v>
      </c>
      <c r="C67">
        <f>C12</f>
        <v>1</v>
      </c>
      <c r="F67">
        <v>4</v>
      </c>
      <c r="G67" t="s">
        <v>53</v>
      </c>
      <c r="H67">
        <f>H12</f>
        <v>1</v>
      </c>
    </row>
    <row r="68" spans="1:8">
      <c r="B68" s="16" t="s">
        <v>58</v>
      </c>
      <c r="G68" s="16" t="s">
        <v>58</v>
      </c>
    </row>
    <row r="69" spans="1:8">
      <c r="A69">
        <v>5</v>
      </c>
      <c r="B69" t="s">
        <v>1</v>
      </c>
      <c r="C69" s="11">
        <v>40000</v>
      </c>
      <c r="F69">
        <v>1</v>
      </c>
      <c r="G69" t="s">
        <v>1</v>
      </c>
      <c r="H69" s="11">
        <v>40000</v>
      </c>
    </row>
    <row r="70" spans="1:8">
      <c r="A70">
        <v>6</v>
      </c>
      <c r="B70" s="20" t="s">
        <v>2</v>
      </c>
      <c r="C70" s="11">
        <v>30000</v>
      </c>
      <c r="F70">
        <v>2</v>
      </c>
      <c r="G70" s="20" t="s">
        <v>2</v>
      </c>
      <c r="H70" s="11">
        <v>30000</v>
      </c>
    </row>
    <row r="71" spans="1:8">
      <c r="A71">
        <v>7</v>
      </c>
      <c r="B71" t="s">
        <v>0</v>
      </c>
      <c r="C71" s="11">
        <v>60000</v>
      </c>
      <c r="F71">
        <v>3</v>
      </c>
      <c r="G71" t="s">
        <v>0</v>
      </c>
      <c r="H71" s="11">
        <v>60000</v>
      </c>
    </row>
    <row r="72" spans="1:8">
      <c r="A72">
        <v>8</v>
      </c>
      <c r="B72" t="s">
        <v>53</v>
      </c>
      <c r="C72" s="11">
        <v>65000</v>
      </c>
      <c r="F72">
        <v>4</v>
      </c>
      <c r="G72" t="s">
        <v>53</v>
      </c>
      <c r="H72" s="11">
        <v>65000</v>
      </c>
    </row>
    <row r="73" spans="1:8">
      <c r="B73" s="16" t="s">
        <v>54</v>
      </c>
      <c r="G73" s="16" t="s">
        <v>54</v>
      </c>
    </row>
    <row r="74" spans="1:8">
      <c r="A74">
        <v>9</v>
      </c>
      <c r="B74" t="s">
        <v>55</v>
      </c>
      <c r="C74" s="2">
        <v>0.1</v>
      </c>
      <c r="G74" t="s">
        <v>55</v>
      </c>
      <c r="H74" s="2">
        <v>0.1</v>
      </c>
    </row>
    <row r="75" spans="1:8">
      <c r="A75">
        <v>10</v>
      </c>
      <c r="B75" t="s">
        <v>56</v>
      </c>
      <c r="C75" s="2">
        <v>0.05</v>
      </c>
      <c r="G75" t="s">
        <v>56</v>
      </c>
      <c r="H75" s="2">
        <v>0.05</v>
      </c>
    </row>
    <row r="76" spans="1:8">
      <c r="A76">
        <v>11</v>
      </c>
      <c r="B76" t="s">
        <v>57</v>
      </c>
      <c r="C76" s="2">
        <f>SUM(C74:C75)</f>
        <v>0.15000000000000002</v>
      </c>
      <c r="G76" t="s">
        <v>57</v>
      </c>
      <c r="H76" s="2">
        <f>SUM(H74:H75)</f>
        <v>0.15000000000000002</v>
      </c>
    </row>
    <row r="77" spans="1:8">
      <c r="B77" s="16" t="s">
        <v>51</v>
      </c>
      <c r="G77" s="16" t="s">
        <v>51</v>
      </c>
    </row>
    <row r="78" spans="1:8">
      <c r="A78">
        <v>12</v>
      </c>
      <c r="B78" t="s">
        <v>1</v>
      </c>
      <c r="C78" s="2">
        <v>0.25</v>
      </c>
      <c r="F78">
        <v>1</v>
      </c>
      <c r="G78" t="s">
        <v>1</v>
      </c>
      <c r="H78" s="2">
        <v>0.25</v>
      </c>
    </row>
    <row r="79" spans="1:8">
      <c r="A79" s="20">
        <v>13</v>
      </c>
      <c r="B79" s="20" t="s">
        <v>2</v>
      </c>
      <c r="C79" s="2">
        <v>0.7</v>
      </c>
      <c r="F79" s="20">
        <v>2</v>
      </c>
      <c r="G79" s="20" t="s">
        <v>2</v>
      </c>
      <c r="H79" s="2">
        <v>0.7</v>
      </c>
    </row>
    <row r="80" spans="1:8">
      <c r="A80">
        <v>14</v>
      </c>
      <c r="B80" t="s">
        <v>0</v>
      </c>
      <c r="C80" s="2">
        <v>0.15</v>
      </c>
      <c r="F80">
        <v>3</v>
      </c>
      <c r="G80" t="s">
        <v>0</v>
      </c>
      <c r="H80" s="2">
        <v>0.15</v>
      </c>
    </row>
    <row r="81" spans="1:8">
      <c r="A81">
        <v>15</v>
      </c>
      <c r="B81" t="s">
        <v>53</v>
      </c>
      <c r="C81" s="2">
        <v>0.3</v>
      </c>
      <c r="F81">
        <v>4</v>
      </c>
      <c r="G81" t="s">
        <v>53</v>
      </c>
      <c r="H81" s="2">
        <v>0.3</v>
      </c>
    </row>
    <row r="82" spans="1:8">
      <c r="B82" s="16" t="s">
        <v>60</v>
      </c>
      <c r="G82" s="16" t="s">
        <v>60</v>
      </c>
    </row>
    <row r="83" spans="1:8">
      <c r="A83">
        <v>16</v>
      </c>
      <c r="B83" t="s">
        <v>1</v>
      </c>
      <c r="C83" s="11">
        <f>C64*C69*(1+C76)*(C78-C90)</f>
        <v>13800</v>
      </c>
      <c r="F83">
        <v>1</v>
      </c>
      <c r="G83" t="s">
        <v>1</v>
      </c>
      <c r="H83" s="11">
        <f>H64*H69*(1+H76)*(H78-H90)</f>
        <v>20700</v>
      </c>
    </row>
    <row r="84" spans="1:8">
      <c r="A84" s="20">
        <v>17</v>
      </c>
      <c r="B84" s="20" t="s">
        <v>2</v>
      </c>
      <c r="C84" s="11">
        <f>C65*C70*(1+C76)*(C79-C90)</f>
        <v>10350</v>
      </c>
      <c r="F84" s="20">
        <v>2</v>
      </c>
      <c r="G84" s="20" t="s">
        <v>2</v>
      </c>
      <c r="H84" s="11">
        <f>H65*H70*(1+H76)*(H79-H90)</f>
        <v>20700</v>
      </c>
    </row>
    <row r="85" spans="1:8">
      <c r="A85">
        <v>18</v>
      </c>
      <c r="B85" t="s">
        <v>0</v>
      </c>
      <c r="C85" s="11">
        <f>C66*C71*(1+C76)*C80</f>
        <v>10350</v>
      </c>
      <c r="F85">
        <v>3</v>
      </c>
      <c r="G85" t="s">
        <v>0</v>
      </c>
      <c r="H85" s="11">
        <f>H66*H71*(1+H76)*H80</f>
        <v>31049.999999999993</v>
      </c>
    </row>
    <row r="86" spans="1:8">
      <c r="A86">
        <v>19</v>
      </c>
      <c r="B86" t="s">
        <v>53</v>
      </c>
      <c r="C86" s="11">
        <f>C67*C72*(1+C77)*C81</f>
        <v>19500</v>
      </c>
      <c r="F86">
        <v>4</v>
      </c>
      <c r="G86" t="s">
        <v>53</v>
      </c>
      <c r="H86" s="11">
        <f>H67*H72*(1+H77)*H81</f>
        <v>19500</v>
      </c>
    </row>
    <row r="87" spans="1:8">
      <c r="B87" s="26" t="s">
        <v>59</v>
      </c>
      <c r="C87" s="42">
        <f>SUM(C83:C86)</f>
        <v>54000</v>
      </c>
      <c r="G87" s="26" t="s">
        <v>59</v>
      </c>
      <c r="H87" s="42">
        <f>SUM(H83:H86)</f>
        <v>91950</v>
      </c>
    </row>
    <row r="88" spans="1:8">
      <c r="B88" s="44" t="s">
        <v>61</v>
      </c>
      <c r="G88" s="44" t="s">
        <v>61</v>
      </c>
    </row>
    <row r="89" spans="1:8">
      <c r="A89">
        <v>20</v>
      </c>
      <c r="B89" s="43" t="s">
        <v>71</v>
      </c>
      <c r="C89" s="11">
        <f>SUM(C83:C84)</f>
        <v>24150</v>
      </c>
      <c r="F89">
        <v>1</v>
      </c>
      <c r="G89" s="43" t="s">
        <v>62</v>
      </c>
      <c r="H89" s="11">
        <f>SUM(H83:H84)</f>
        <v>41400</v>
      </c>
    </row>
    <row r="90" spans="1:8">
      <c r="A90">
        <v>21</v>
      </c>
      <c r="B90" s="43" t="s">
        <v>67</v>
      </c>
      <c r="C90" s="48">
        <v>0.1</v>
      </c>
      <c r="F90">
        <v>2</v>
      </c>
      <c r="G90" s="43" t="s">
        <v>67</v>
      </c>
      <c r="H90" s="48">
        <v>0.1</v>
      </c>
    </row>
    <row r="91" spans="1:8">
      <c r="A91">
        <v>22</v>
      </c>
      <c r="B91" s="43" t="s">
        <v>63</v>
      </c>
      <c r="C91" s="11">
        <f>C90*C8*1000000</f>
        <v>300000.00000000006</v>
      </c>
      <c r="F91">
        <v>3</v>
      </c>
      <c r="G91" s="43" t="s">
        <v>63</v>
      </c>
      <c r="H91" s="14">
        <f>H90*H8*1000000</f>
        <v>800000</v>
      </c>
    </row>
    <row r="92" spans="1:8">
      <c r="A92">
        <v>23</v>
      </c>
      <c r="B92" s="43" t="s">
        <v>66</v>
      </c>
      <c r="C92" s="2">
        <f>C17</f>
        <v>0.12</v>
      </c>
      <c r="F92">
        <v>4</v>
      </c>
      <c r="G92" s="43" t="s">
        <v>66</v>
      </c>
      <c r="H92" s="2">
        <f>H17</f>
        <v>0.12</v>
      </c>
    </row>
    <row r="93" spans="1:8">
      <c r="A93">
        <v>24</v>
      </c>
      <c r="B93" s="43" t="s">
        <v>65</v>
      </c>
      <c r="C93" s="48">
        <f>C48-50%</f>
        <v>0.19999999999999996</v>
      </c>
      <c r="F93">
        <v>5</v>
      </c>
      <c r="G93" s="43" t="s">
        <v>65</v>
      </c>
      <c r="H93" s="48">
        <f>H48-50%</f>
        <v>0.19999999999999996</v>
      </c>
    </row>
    <row r="94" spans="1:8">
      <c r="A94">
        <v>25</v>
      </c>
      <c r="B94" s="43" t="s">
        <v>64</v>
      </c>
      <c r="C94" s="11">
        <f>C91*C92*C93*C8</f>
        <v>21600</v>
      </c>
      <c r="F94">
        <v>6</v>
      </c>
      <c r="G94" s="43" t="s">
        <v>64</v>
      </c>
      <c r="H94" s="11">
        <f>H91*H92*H93*H8</f>
        <v>153599.99999999997</v>
      </c>
    </row>
    <row r="95" spans="1:8" ht="15.75" thickBot="1">
      <c r="A95" s="47">
        <v>26</v>
      </c>
      <c r="B95" s="49" t="s">
        <v>68</v>
      </c>
      <c r="C95" s="50">
        <f>C89+C94</f>
        <v>45750</v>
      </c>
      <c r="F95" s="49">
        <v>7</v>
      </c>
      <c r="G95" s="49" t="s">
        <v>68</v>
      </c>
      <c r="H95" s="50">
        <f>H89+H94</f>
        <v>194999.99999999997</v>
      </c>
    </row>
    <row r="96" spans="1:8" ht="15.75" thickTop="1">
      <c r="A96" s="43">
        <v>27</v>
      </c>
      <c r="B96" s="43" t="s">
        <v>70</v>
      </c>
      <c r="C96" s="2">
        <f>C95/C87</f>
        <v>0.84722222222222221</v>
      </c>
      <c r="F96" s="43">
        <v>8</v>
      </c>
      <c r="G96" s="43" t="s">
        <v>70</v>
      </c>
      <c r="H96" s="2">
        <f>H95/H87</f>
        <v>2.1207177814029361</v>
      </c>
    </row>
    <row r="97" spans="1:8" ht="24.75" customHeight="1" thickBot="1">
      <c r="A97" s="54" t="s">
        <v>79</v>
      </c>
      <c r="B97" s="55"/>
      <c r="C97" s="55"/>
      <c r="D97" s="55"/>
      <c r="E97" s="55"/>
      <c r="F97" s="55"/>
      <c r="G97" s="55"/>
      <c r="H97" s="55"/>
    </row>
    <row r="98" spans="1:8" ht="18" customHeight="1" thickTop="1">
      <c r="A98" s="57"/>
      <c r="B98" s="56"/>
      <c r="C98" s="56"/>
      <c r="D98" s="56"/>
      <c r="E98" s="56"/>
      <c r="F98" s="56"/>
      <c r="G98" s="56"/>
      <c r="H98" s="56"/>
    </row>
    <row r="99" spans="1:8" ht="15.75" customHeight="1">
      <c r="A99" s="53"/>
      <c r="B99" s="58" t="s">
        <v>80</v>
      </c>
      <c r="C99" s="59"/>
      <c r="D99" s="56"/>
      <c r="E99" s="56"/>
      <c r="F99" s="56"/>
      <c r="G99" s="58" t="s">
        <v>80</v>
      </c>
      <c r="H99" s="56"/>
    </row>
    <row r="100" spans="1:8">
      <c r="A100">
        <v>1</v>
      </c>
      <c r="B100" s="43" t="s">
        <v>72</v>
      </c>
      <c r="C100" s="3">
        <f>C21</f>
        <v>63000</v>
      </c>
      <c r="F100">
        <v>1</v>
      </c>
      <c r="G100" s="43" t="s">
        <v>72</v>
      </c>
      <c r="H100" s="3">
        <f>H21</f>
        <v>168000</v>
      </c>
    </row>
    <row r="101" spans="1:8">
      <c r="A101">
        <v>2</v>
      </c>
      <c r="B101" s="43" t="s">
        <v>74</v>
      </c>
      <c r="C101" s="3">
        <f>C39</f>
        <v>-49342.105263157893</v>
      </c>
      <c r="F101">
        <v>2</v>
      </c>
      <c r="G101" s="43" t="s">
        <v>74</v>
      </c>
      <c r="H101" s="3">
        <f>H39</f>
        <v>-100000</v>
      </c>
    </row>
    <row r="102" spans="1:8">
      <c r="A102" s="12">
        <v>3</v>
      </c>
      <c r="B102" s="45" t="s">
        <v>75</v>
      </c>
      <c r="C102" s="60">
        <f>SUM(C100:C101)</f>
        <v>13657.894736842107</v>
      </c>
      <c r="F102">
        <v>3</v>
      </c>
      <c r="G102" s="43" t="s">
        <v>75</v>
      </c>
      <c r="H102" s="3">
        <f>SUM(H100:H101)</f>
        <v>68000</v>
      </c>
    </row>
    <row r="103" spans="1:8">
      <c r="B103" s="44" t="s">
        <v>81</v>
      </c>
      <c r="C103" s="3"/>
      <c r="G103" s="44" t="s">
        <v>81</v>
      </c>
      <c r="H103" s="3"/>
    </row>
    <row r="104" spans="1:8">
      <c r="A104">
        <v>4</v>
      </c>
      <c r="B104" s="43" t="s">
        <v>73</v>
      </c>
      <c r="C104" s="11">
        <f>C95</f>
        <v>45750</v>
      </c>
      <c r="F104">
        <v>4</v>
      </c>
      <c r="G104" s="43" t="s">
        <v>73</v>
      </c>
      <c r="H104" s="11">
        <f>H95</f>
        <v>194999.99999999997</v>
      </c>
    </row>
    <row r="105" spans="1:8">
      <c r="A105">
        <v>5</v>
      </c>
      <c r="B105" s="51" t="str">
        <f>B101</f>
        <v>Cost of Additional Profit</v>
      </c>
      <c r="C105" s="3">
        <f>C101</f>
        <v>-49342.105263157893</v>
      </c>
      <c r="F105">
        <v>5</v>
      </c>
      <c r="G105" s="51" t="str">
        <f>G101</f>
        <v>Cost of Additional Profit</v>
      </c>
      <c r="H105" s="3">
        <f>H101</f>
        <v>-100000</v>
      </c>
    </row>
    <row r="106" spans="1:8">
      <c r="A106" s="12">
        <v>6</v>
      </c>
      <c r="B106" s="12" t="str">
        <f>B102</f>
        <v>Net Additional Profit</v>
      </c>
      <c r="C106" s="60">
        <f>SUM(C104:C105)</f>
        <v>-3592.1052631578932</v>
      </c>
      <c r="F106">
        <v>6</v>
      </c>
      <c r="G106" t="str">
        <f>G102</f>
        <v>Net Additional Profit</v>
      </c>
      <c r="H106" s="3">
        <f>SUM(H104:H105)</f>
        <v>94999.999999999971</v>
      </c>
    </row>
    <row r="107" spans="1:8">
      <c r="B107" s="16" t="s">
        <v>82</v>
      </c>
      <c r="C107" s="3"/>
      <c r="G107" s="16" t="s">
        <v>82</v>
      </c>
      <c r="H107" s="3"/>
    </row>
    <row r="108" spans="1:8">
      <c r="A108">
        <v>7</v>
      </c>
      <c r="B108" t="s">
        <v>76</v>
      </c>
      <c r="C108" s="52" t="s">
        <v>77</v>
      </c>
      <c r="F108">
        <v>7</v>
      </c>
      <c r="G108" t="s">
        <v>76</v>
      </c>
      <c r="H108" s="52" t="s">
        <v>77</v>
      </c>
    </row>
    <row r="109" spans="1:8">
      <c r="A109">
        <v>8</v>
      </c>
      <c r="B109" t="s">
        <v>14</v>
      </c>
      <c r="C109" s="11">
        <v>10</v>
      </c>
      <c r="F109">
        <v>8</v>
      </c>
      <c r="G109" t="s">
        <v>14</v>
      </c>
      <c r="H109" s="11">
        <v>30</v>
      </c>
    </row>
    <row r="110" spans="1:8">
      <c r="A110" s="12">
        <v>9</v>
      </c>
      <c r="B110" s="12" t="s">
        <v>78</v>
      </c>
      <c r="C110" s="61">
        <f>C109*C34</f>
        <v>9868.4210526315801</v>
      </c>
      <c r="F110">
        <v>9</v>
      </c>
      <c r="G110" t="s">
        <v>78</v>
      </c>
      <c r="H110" s="11">
        <f>H109*H34</f>
        <v>60000</v>
      </c>
    </row>
  </sheetData>
  <printOptions horizontalCentered="1" gridLines="1"/>
  <pageMargins left="0.45" right="0.45" top="0.5" bottom="0.75" header="0.3" footer="0.3"/>
  <pageSetup orientation="landscape" horizontalDpi="1200" verticalDpi="1200" r:id="rId1"/>
  <headerFooter>
    <oddFooter>&amp;L&amp;F&amp;C&amp;P of &amp;N&amp;R&amp;D</oddFooter>
  </headerFooter>
  <rowBreaks count="1" manualBreakCount="1">
    <brk id="2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I24" sqref="I24"/>
    </sheetView>
  </sheetViews>
  <sheetFormatPr defaultRowHeight="15"/>
  <cols>
    <col min="2" max="2" width="15" customWidth="1"/>
    <col min="3" max="3" width="13.5703125" customWidth="1"/>
    <col min="4" max="4" width="18.5703125" customWidth="1"/>
  </cols>
  <sheetData>
    <row r="1" spans="1:5">
      <c r="A1" t="s">
        <v>125</v>
      </c>
      <c r="B1" s="3">
        <f>'15 Mil'!C42*1000000</f>
        <v>15000000</v>
      </c>
    </row>
    <row r="2" spans="1:5">
      <c r="A2" t="s">
        <v>121</v>
      </c>
      <c r="B2" s="2">
        <v>0.16</v>
      </c>
    </row>
    <row r="3" spans="1:5">
      <c r="A3" t="s">
        <v>120</v>
      </c>
      <c r="B3" s="3">
        <f>B1*B2</f>
        <v>2400000</v>
      </c>
    </row>
    <row r="4" spans="1:5">
      <c r="A4" t="s">
        <v>122</v>
      </c>
      <c r="B4" s="11">
        <f>B1*(1-B2)</f>
        <v>12600000</v>
      </c>
    </row>
    <row r="5" spans="1:5">
      <c r="A5" t="s">
        <v>123</v>
      </c>
      <c r="B5">
        <v>9</v>
      </c>
    </row>
    <row r="6" spans="1:5">
      <c r="A6" t="s">
        <v>124</v>
      </c>
      <c r="B6" s="3">
        <f>B3</f>
        <v>2400000</v>
      </c>
      <c r="C6">
        <v>0</v>
      </c>
      <c r="D6" s="3">
        <f>B6+C6</f>
        <v>2400000</v>
      </c>
    </row>
    <row r="7" spans="1:5">
      <c r="A7">
        <v>2</v>
      </c>
      <c r="B7" s="11">
        <f>B4/B5</f>
        <v>1400000</v>
      </c>
      <c r="C7">
        <v>0</v>
      </c>
      <c r="D7" s="3">
        <f t="shared" ref="D7:D16" si="0">B7+D6+C7</f>
        <v>3800000</v>
      </c>
    </row>
    <row r="8" spans="1:5">
      <c r="A8">
        <v>3</v>
      </c>
      <c r="B8" s="11">
        <f t="shared" ref="B8:B14" si="1">B7</f>
        <v>1400000</v>
      </c>
      <c r="C8" s="3">
        <f t="shared" ref="C8:C16" si="2">-B6</f>
        <v>-2400000</v>
      </c>
      <c r="D8" s="3">
        <f t="shared" si="0"/>
        <v>2800000</v>
      </c>
    </row>
    <row r="9" spans="1:5">
      <c r="A9">
        <v>4</v>
      </c>
      <c r="B9" s="11">
        <f t="shared" si="1"/>
        <v>1400000</v>
      </c>
      <c r="C9" s="3">
        <f t="shared" si="2"/>
        <v>-1400000</v>
      </c>
      <c r="D9" s="3">
        <f t="shared" si="0"/>
        <v>2800000</v>
      </c>
    </row>
    <row r="10" spans="1:5">
      <c r="A10">
        <v>5</v>
      </c>
      <c r="B10" s="11">
        <f t="shared" si="1"/>
        <v>1400000</v>
      </c>
      <c r="C10" s="3">
        <f t="shared" si="2"/>
        <v>-1400000</v>
      </c>
      <c r="D10" s="3">
        <f t="shared" si="0"/>
        <v>2800000</v>
      </c>
      <c r="E10" s="2">
        <f>D10/B1</f>
        <v>0.18666666666666668</v>
      </c>
    </row>
    <row r="11" spans="1:5">
      <c r="A11">
        <v>6</v>
      </c>
      <c r="B11" s="11">
        <f t="shared" si="1"/>
        <v>1400000</v>
      </c>
      <c r="C11" s="3">
        <f t="shared" si="2"/>
        <v>-1400000</v>
      </c>
      <c r="D11" s="3">
        <f t="shared" si="0"/>
        <v>2800000</v>
      </c>
    </row>
    <row r="12" spans="1:5">
      <c r="A12">
        <v>7</v>
      </c>
      <c r="B12" s="11">
        <f t="shared" si="1"/>
        <v>1400000</v>
      </c>
      <c r="C12" s="3">
        <f t="shared" si="2"/>
        <v>-1400000</v>
      </c>
      <c r="D12" s="3">
        <f t="shared" si="0"/>
        <v>2800000</v>
      </c>
    </row>
    <row r="13" spans="1:5">
      <c r="A13">
        <v>8</v>
      </c>
      <c r="B13" s="11">
        <f t="shared" si="1"/>
        <v>1400000</v>
      </c>
      <c r="C13" s="3">
        <f t="shared" si="2"/>
        <v>-1400000</v>
      </c>
      <c r="D13" s="3">
        <f t="shared" si="0"/>
        <v>2800000</v>
      </c>
    </row>
    <row r="14" spans="1:5">
      <c r="A14">
        <v>9</v>
      </c>
      <c r="B14" s="11">
        <f t="shared" si="1"/>
        <v>1400000</v>
      </c>
      <c r="C14" s="3">
        <f t="shared" si="2"/>
        <v>-1400000</v>
      </c>
      <c r="D14" s="3">
        <f t="shared" si="0"/>
        <v>2800000</v>
      </c>
    </row>
    <row r="15" spans="1:5">
      <c r="A15">
        <v>10</v>
      </c>
      <c r="B15">
        <v>0</v>
      </c>
      <c r="C15" s="3">
        <f t="shared" si="2"/>
        <v>-1400000</v>
      </c>
      <c r="D15" s="3">
        <f t="shared" si="0"/>
        <v>1400000</v>
      </c>
    </row>
    <row r="16" spans="1:5">
      <c r="A16">
        <v>11</v>
      </c>
      <c r="B16">
        <v>0</v>
      </c>
      <c r="C16" s="3">
        <f t="shared" si="2"/>
        <v>-1400000</v>
      </c>
      <c r="D16" s="3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5:H25"/>
  <sheetViews>
    <sheetView workbookViewId="0">
      <selection sqref="A1:I17"/>
    </sheetView>
  </sheetViews>
  <sheetFormatPr defaultRowHeight="15"/>
  <cols>
    <col min="1" max="1" width="6.140625" customWidth="1"/>
    <col min="2" max="2" width="20" customWidth="1"/>
    <col min="3" max="3" width="11" customWidth="1"/>
    <col min="4" max="4" width="13.28515625" customWidth="1"/>
    <col min="5" max="5" width="15.7109375" customWidth="1"/>
    <col min="6" max="6" width="16.28515625" customWidth="1"/>
    <col min="7" max="7" width="15.5703125" customWidth="1"/>
    <col min="8" max="8" width="16.5703125" customWidth="1"/>
  </cols>
  <sheetData>
    <row r="5" spans="1:8" ht="27" customHeight="1" thickBot="1">
      <c r="A5" s="118" t="s">
        <v>163</v>
      </c>
      <c r="B5" s="118"/>
      <c r="C5" s="118"/>
      <c r="D5" s="118"/>
      <c r="E5" s="118"/>
      <c r="F5" s="118"/>
      <c r="G5" s="118"/>
      <c r="H5" s="118"/>
    </row>
    <row r="6" spans="1:8" ht="19.5" thickTop="1">
      <c r="A6" s="116" t="s">
        <v>140</v>
      </c>
      <c r="B6" s="117"/>
      <c r="C6" s="117"/>
      <c r="D6" s="117"/>
      <c r="E6" s="117"/>
      <c r="F6" s="117"/>
      <c r="G6" s="4"/>
      <c r="H6" s="4"/>
    </row>
    <row r="7" spans="1:8" ht="15.75">
      <c r="A7" s="94" t="s">
        <v>167</v>
      </c>
      <c r="B7" s="4"/>
      <c r="C7" s="4"/>
      <c r="D7" s="4"/>
      <c r="E7" s="4"/>
      <c r="F7" s="4"/>
      <c r="G7" s="4"/>
      <c r="H7" s="4"/>
    </row>
    <row r="8" spans="1:8" ht="15.75">
      <c r="A8" s="94" t="s">
        <v>159</v>
      </c>
      <c r="B8" s="4"/>
      <c r="C8" s="4"/>
      <c r="D8" s="4"/>
      <c r="E8" s="4"/>
      <c r="F8" s="4"/>
      <c r="G8" s="4"/>
      <c r="H8" s="4"/>
    </row>
    <row r="9" spans="1:8" ht="15.75">
      <c r="A9" s="94"/>
      <c r="B9" s="4"/>
      <c r="C9" s="4"/>
      <c r="D9" s="4"/>
      <c r="E9" s="4"/>
      <c r="F9" s="4"/>
    </row>
    <row r="10" spans="1:8" ht="18.75">
      <c r="A10" s="19" t="s">
        <v>149</v>
      </c>
      <c r="B10" s="4"/>
      <c r="C10" s="4"/>
      <c r="D10" s="4"/>
      <c r="E10" s="4"/>
      <c r="F10" s="4"/>
      <c r="G10" s="4"/>
      <c r="H10" s="4"/>
    </row>
    <row r="12" spans="1:8" ht="48" thickBot="1">
      <c r="A12" s="95"/>
      <c r="B12" s="123" t="s">
        <v>150</v>
      </c>
      <c r="C12" s="96" t="s">
        <v>157</v>
      </c>
      <c r="D12" s="96" t="s">
        <v>151</v>
      </c>
      <c r="E12" s="96" t="s">
        <v>152</v>
      </c>
      <c r="F12" s="96" t="s">
        <v>162</v>
      </c>
      <c r="G12" s="109" t="s">
        <v>153</v>
      </c>
      <c r="H12" s="109" t="s">
        <v>154</v>
      </c>
    </row>
    <row r="13" spans="1:8" ht="20.100000000000001" customHeight="1" thickTop="1">
      <c r="A13" s="100">
        <v>1</v>
      </c>
      <c r="B13" s="111" t="s">
        <v>1</v>
      </c>
      <c r="C13" s="110">
        <v>4</v>
      </c>
      <c r="D13" s="107">
        <v>45000</v>
      </c>
      <c r="E13" s="102">
        <v>0.2</v>
      </c>
      <c r="F13" s="107">
        <f>D13*(1+E13)*C13</f>
        <v>216000</v>
      </c>
      <c r="G13" s="102">
        <v>0.25</v>
      </c>
      <c r="H13" s="112">
        <f>C13*D13*(1+E13)*G13</f>
        <v>54000</v>
      </c>
    </row>
    <row r="14" spans="1:8" ht="20.100000000000001" customHeight="1">
      <c r="A14" s="100">
        <v>2</v>
      </c>
      <c r="B14" s="111" t="s">
        <v>155</v>
      </c>
      <c r="C14" s="110">
        <v>2</v>
      </c>
      <c r="D14" s="107">
        <v>36000</v>
      </c>
      <c r="E14" s="102">
        <v>0.2</v>
      </c>
      <c r="F14" s="107">
        <f t="shared" ref="F14:F16" si="0">D14*(1+E14)*C14</f>
        <v>86400</v>
      </c>
      <c r="G14" s="102">
        <v>0.7</v>
      </c>
      <c r="H14" s="112">
        <f t="shared" ref="H14:H16" si="1">C14*D14*(1+E14)*G14</f>
        <v>60479.999999999993</v>
      </c>
    </row>
    <row r="15" spans="1:8" ht="20.100000000000001" customHeight="1">
      <c r="A15" s="100">
        <v>3</v>
      </c>
      <c r="B15" s="111" t="s">
        <v>0</v>
      </c>
      <c r="C15" s="110">
        <v>4</v>
      </c>
      <c r="D15" s="107">
        <v>75000</v>
      </c>
      <c r="E15" s="102">
        <v>0.2</v>
      </c>
      <c r="F15" s="107">
        <f t="shared" si="0"/>
        <v>360000</v>
      </c>
      <c r="G15" s="102">
        <v>0.1</v>
      </c>
      <c r="H15" s="112">
        <f t="shared" si="1"/>
        <v>36000</v>
      </c>
    </row>
    <row r="16" spans="1:8" ht="20.100000000000001" customHeight="1">
      <c r="A16" s="103">
        <v>4</v>
      </c>
      <c r="B16" s="113" t="s">
        <v>156</v>
      </c>
      <c r="C16" s="114">
        <v>2</v>
      </c>
      <c r="D16" s="108">
        <v>80000</v>
      </c>
      <c r="E16" s="102">
        <v>0.2</v>
      </c>
      <c r="F16" s="107">
        <f t="shared" si="0"/>
        <v>192000</v>
      </c>
      <c r="G16" s="105">
        <v>0.08</v>
      </c>
      <c r="H16" s="115">
        <f t="shared" si="1"/>
        <v>15360</v>
      </c>
    </row>
    <row r="17" spans="1:8" ht="25.5" customHeight="1" thickBot="1">
      <c r="A17" s="119"/>
      <c r="B17" s="120" t="s">
        <v>158</v>
      </c>
      <c r="C17" s="124">
        <f>SUM(C13:C16)</f>
        <v>12</v>
      </c>
      <c r="D17" s="121"/>
      <c r="E17" s="121"/>
      <c r="F17" s="122">
        <f>SUM(F13:F16)</f>
        <v>854400</v>
      </c>
      <c r="G17" s="125"/>
      <c r="H17" s="122">
        <f>SUM(H13:H16)</f>
        <v>165840</v>
      </c>
    </row>
    <row r="18" spans="1:8" ht="15.75" thickTop="1"/>
    <row r="19" spans="1:8">
      <c r="F19" s="15"/>
    </row>
    <row r="20" spans="1:8">
      <c r="A20" t="s">
        <v>146</v>
      </c>
      <c r="F20" s="15"/>
    </row>
    <row r="21" spans="1:8" ht="15.75">
      <c r="A21" s="106">
        <v>1</v>
      </c>
      <c r="B21" t="s">
        <v>161</v>
      </c>
    </row>
    <row r="22" spans="1:8" ht="15.75">
      <c r="A22" s="106">
        <v>2</v>
      </c>
      <c r="B22" t="s">
        <v>165</v>
      </c>
    </row>
    <row r="23" spans="1:8" ht="15.75">
      <c r="A23" s="106">
        <v>3</v>
      </c>
      <c r="B23" t="s">
        <v>160</v>
      </c>
    </row>
    <row r="24" spans="1:8" ht="15.75">
      <c r="A24" s="106">
        <v>4</v>
      </c>
      <c r="B24" t="s">
        <v>166</v>
      </c>
    </row>
    <row r="25" spans="1:8" ht="15.75">
      <c r="A25" s="106">
        <v>5</v>
      </c>
      <c r="B25" t="s">
        <v>164</v>
      </c>
    </row>
  </sheetData>
  <printOptions horizontalCentered="1"/>
  <pageMargins left="0.95" right="0.95" top="0.75" bottom="0.75" header="0.3" footer="0.3"/>
  <pageSetup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opLeftCell="C1" workbookViewId="0">
      <selection activeCell="I11" sqref="I11"/>
    </sheetView>
  </sheetViews>
  <sheetFormatPr defaultRowHeight="15"/>
  <cols>
    <col min="1" max="1" width="56" customWidth="1"/>
    <col min="2" max="2" width="18.42578125" customWidth="1"/>
    <col min="3" max="3" width="14.140625" customWidth="1"/>
    <col min="4" max="4" width="13.85546875" customWidth="1"/>
    <col min="5" max="5" width="15.42578125" customWidth="1"/>
  </cols>
  <sheetData>
    <row r="1" spans="1:6" ht="33" customHeight="1"/>
    <row r="2" spans="1:6" ht="24.75" customHeight="1"/>
    <row r="3" spans="1:6" ht="21">
      <c r="A3" s="174" t="s">
        <v>189</v>
      </c>
      <c r="B3" s="4"/>
      <c r="C3" s="88"/>
      <c r="D3" s="88"/>
      <c r="E3" s="88"/>
    </row>
    <row r="4" spans="1:6">
      <c r="A4" s="5"/>
      <c r="B4" s="5"/>
      <c r="C4" s="88"/>
      <c r="D4" s="88"/>
      <c r="E4" s="88"/>
    </row>
    <row r="5" spans="1:6" ht="27" thickBot="1">
      <c r="A5" s="136" t="s">
        <v>111</v>
      </c>
      <c r="B5" s="38"/>
      <c r="C5" s="84"/>
      <c r="D5" s="84"/>
      <c r="E5" s="84"/>
    </row>
    <row r="6" spans="1:6" ht="21.75" thickTop="1">
      <c r="A6" s="174" t="s">
        <v>149</v>
      </c>
      <c r="B6" s="5"/>
      <c r="C6" s="88"/>
      <c r="D6" s="88"/>
      <c r="E6" s="88"/>
    </row>
    <row r="7" spans="1:6" ht="27.75" customHeight="1"/>
    <row r="8" spans="1:6" ht="24.95" customHeight="1">
      <c r="A8" s="213" t="s">
        <v>172</v>
      </c>
      <c r="B8" s="212" t="s">
        <v>171</v>
      </c>
      <c r="C8" s="212"/>
      <c r="D8" s="212"/>
      <c r="E8" s="212"/>
    </row>
    <row r="9" spans="1:6" ht="24.95" customHeight="1" thickBot="1">
      <c r="A9" s="214"/>
      <c r="B9" s="190">
        <v>0.25</v>
      </c>
      <c r="C9" s="190">
        <v>0.2</v>
      </c>
      <c r="D9" s="190">
        <v>0.15</v>
      </c>
      <c r="E9" s="190">
        <v>0.1</v>
      </c>
      <c r="F9" s="2"/>
    </row>
    <row r="10" spans="1:6" ht="24.95" customHeight="1" thickTop="1">
      <c r="A10" s="191" t="s">
        <v>181</v>
      </c>
      <c r="B10" s="192">
        <f>'10 Mil Rev 25%'!B16</f>
        <v>1.0921052631578947</v>
      </c>
      <c r="C10" s="192">
        <f>'10 Mil Rev 20%'!B16</f>
        <v>0.768421052631579</v>
      </c>
      <c r="D10" s="192">
        <f>'10 Mil Rev 15%'!B14</f>
        <v>0.44473684210526299</v>
      </c>
      <c r="E10" s="192">
        <f>'10 Mil Rev 10%'!B14</f>
        <v>0.12105263157894733</v>
      </c>
    </row>
    <row r="11" spans="1:6" ht="24.95" customHeight="1" thickBot="1">
      <c r="A11" s="189" t="s">
        <v>182</v>
      </c>
      <c r="B11" s="137">
        <f>'10 Mil Rev 25%'!B19</f>
        <v>0.67368421052631577</v>
      </c>
      <c r="C11" s="137">
        <f>'10 Mil Rev 20%'!B19</f>
        <v>0.47368421052631587</v>
      </c>
      <c r="D11" s="137">
        <f>'10 Mil Rev 15%'!B17</f>
        <v>0.25629290617848965</v>
      </c>
      <c r="E11" s="137">
        <f>'10 Mil Rev 10%'!B17</f>
        <v>1.9138755980861177E-2</v>
      </c>
    </row>
    <row r="12" spans="1:6" ht="15.75" thickTop="1"/>
    <row r="18" spans="1:5">
      <c r="A18" s="4" t="s">
        <v>183</v>
      </c>
      <c r="B18" s="4"/>
      <c r="C18" s="4"/>
      <c r="D18" s="4"/>
      <c r="E18" s="4"/>
    </row>
  </sheetData>
  <mergeCells count="2">
    <mergeCell ref="B8:E8"/>
    <mergeCell ref="A8:A9"/>
  </mergeCells>
  <printOptions horizontalCentered="1"/>
  <pageMargins left="0.7" right="0.7" top="0.75" bottom="0.75" header="0.3" footer="0.3"/>
  <pageSetup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0" sqref="C10"/>
    </sheetView>
  </sheetViews>
  <sheetFormatPr defaultRowHeight="15"/>
  <cols>
    <col min="1" max="1" width="9.85546875" customWidth="1"/>
    <col min="2" max="2" width="68.140625" customWidth="1"/>
    <col min="3" max="3" width="18.42578125" customWidth="1"/>
  </cols>
  <sheetData>
    <row r="1" spans="1:3" ht="29.25" customHeight="1"/>
    <row r="2" spans="1:3" ht="20.25" customHeight="1"/>
    <row r="3" spans="1:3" ht="21">
      <c r="A3" s="135" t="s">
        <v>173</v>
      </c>
      <c r="B3" s="4"/>
      <c r="C3" s="4"/>
    </row>
    <row r="4" spans="1:3" ht="21">
      <c r="A4" s="135"/>
      <c r="B4" s="4"/>
      <c r="C4" s="4"/>
    </row>
    <row r="5" spans="1:3" ht="27" thickBot="1">
      <c r="A5" s="136" t="s">
        <v>179</v>
      </c>
      <c r="B5" s="38"/>
      <c r="C5" s="33"/>
    </row>
    <row r="6" spans="1:3" ht="21.75" thickTop="1">
      <c r="A6" s="135" t="s">
        <v>149</v>
      </c>
      <c r="B6" s="5"/>
      <c r="C6" s="4"/>
    </row>
    <row r="7" spans="1:3" ht="26.25">
      <c r="A7" s="129"/>
      <c r="B7" s="5"/>
      <c r="C7" s="4"/>
    </row>
    <row r="8" spans="1:3" ht="18.75">
      <c r="A8" s="12"/>
      <c r="B8" s="133"/>
      <c r="C8" s="134"/>
    </row>
    <row r="9" spans="1:3" ht="24.95" customHeight="1">
      <c r="A9" s="141" t="s">
        <v>176</v>
      </c>
      <c r="B9" s="142"/>
      <c r="C9" s="143">
        <f>'10 Mil Rev 25%'!B11</f>
        <v>0.25</v>
      </c>
    </row>
    <row r="10" spans="1:3" ht="24.95" customHeight="1">
      <c r="A10" s="144" t="s">
        <v>97</v>
      </c>
      <c r="B10" s="145"/>
      <c r="C10" s="146" t="e">
        <f>'10 Mil Rev 25%'!#REF!</f>
        <v>#REF!</v>
      </c>
    </row>
    <row r="11" spans="1:3" ht="24.95" customHeight="1">
      <c r="A11" s="144" t="s">
        <v>180</v>
      </c>
      <c r="B11" s="145"/>
      <c r="C11" s="146">
        <f>'10 Mil Rev 25%'!B19</f>
        <v>0.67368421052631577</v>
      </c>
    </row>
    <row r="17" spans="1:3">
      <c r="A17" s="4" t="s">
        <v>183</v>
      </c>
      <c r="B17" s="4"/>
      <c r="C17" s="4"/>
    </row>
  </sheetData>
  <printOptions horizontalCentered="1"/>
  <pageMargins left="0.7" right="0.7" top="0.75" bottom="0.75" header="0.3" footer="0.3"/>
  <pageSetup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22"/>
  <sheetViews>
    <sheetView workbookViewId="0">
      <selection activeCell="F18" sqref="F18"/>
    </sheetView>
  </sheetViews>
  <sheetFormatPr defaultRowHeight="15"/>
  <cols>
    <col min="1" max="1" width="6.140625" customWidth="1"/>
    <col min="2" max="2" width="20" customWidth="1"/>
    <col min="3" max="3" width="11" customWidth="1"/>
    <col min="4" max="4" width="13.28515625" customWidth="1"/>
    <col min="5" max="5" width="15.7109375" customWidth="1"/>
    <col min="6" max="6" width="16.28515625" customWidth="1"/>
    <col min="7" max="7" width="15.5703125" customWidth="1"/>
    <col min="8" max="8" width="20.5703125" customWidth="1"/>
  </cols>
  <sheetData>
    <row r="5" spans="1:8" ht="24" thickBot="1">
      <c r="A5" s="147" t="s">
        <v>185</v>
      </c>
      <c r="B5" s="118"/>
      <c r="C5" s="118"/>
      <c r="D5" s="118"/>
      <c r="E5" s="118"/>
      <c r="F5" s="118"/>
      <c r="G5" s="118"/>
      <c r="H5" s="118"/>
    </row>
    <row r="6" spans="1:8" ht="19.5" thickTop="1">
      <c r="A6" s="148" t="s">
        <v>149</v>
      </c>
      <c r="B6" s="4"/>
      <c r="C6" s="4"/>
      <c r="D6" s="4"/>
      <c r="E6" s="4"/>
      <c r="F6" s="4"/>
      <c r="G6" s="4"/>
      <c r="H6" s="4"/>
    </row>
    <row r="7" spans="1:8" ht="18.75">
      <c r="A7" s="148"/>
      <c r="B7" s="4"/>
      <c r="C7" s="4"/>
      <c r="D7" s="4"/>
      <c r="E7" s="4"/>
      <c r="F7" s="4"/>
      <c r="G7" s="4"/>
      <c r="H7" s="4"/>
    </row>
    <row r="9" spans="1:8" ht="33" customHeight="1" thickBot="1">
      <c r="A9" s="165"/>
      <c r="B9" s="166" t="s">
        <v>150</v>
      </c>
      <c r="C9" s="167" t="s">
        <v>157</v>
      </c>
      <c r="D9" s="167" t="s">
        <v>151</v>
      </c>
      <c r="E9" s="167" t="s">
        <v>152</v>
      </c>
      <c r="F9" s="167" t="s">
        <v>162</v>
      </c>
      <c r="G9" s="167" t="s">
        <v>153</v>
      </c>
      <c r="H9" s="167" t="s">
        <v>154</v>
      </c>
    </row>
    <row r="10" spans="1:8" ht="20.100000000000001" customHeight="1" thickTop="1">
      <c r="A10" s="154">
        <v>1</v>
      </c>
      <c r="B10" s="155" t="s">
        <v>1</v>
      </c>
      <c r="C10" s="156">
        <v>4</v>
      </c>
      <c r="D10" s="157">
        <v>45000</v>
      </c>
      <c r="E10" s="158">
        <v>0.2</v>
      </c>
      <c r="F10" s="157">
        <f>D10*(1+E10)*C10</f>
        <v>216000</v>
      </c>
      <c r="G10" s="168">
        <v>0.25</v>
      </c>
      <c r="H10" s="159">
        <f>C10*D10*(1+E10)*G10</f>
        <v>54000</v>
      </c>
    </row>
    <row r="11" spans="1:8" ht="20.100000000000001" customHeight="1">
      <c r="A11" s="154">
        <v>2</v>
      </c>
      <c r="B11" s="155" t="s">
        <v>155</v>
      </c>
      <c r="C11" s="156">
        <v>2</v>
      </c>
      <c r="D11" s="157">
        <v>36000</v>
      </c>
      <c r="E11" s="158">
        <v>0.2</v>
      </c>
      <c r="F11" s="157">
        <f t="shared" ref="F11:F13" si="0">D11*(1+E11)*C11</f>
        <v>86400</v>
      </c>
      <c r="G11" s="168">
        <v>0.7</v>
      </c>
      <c r="H11" s="159">
        <f t="shared" ref="H11:H13" si="1">C11*D11*(1+E11)*G11</f>
        <v>60479.999999999993</v>
      </c>
    </row>
    <row r="12" spans="1:8" ht="20.100000000000001" customHeight="1">
      <c r="A12" s="154">
        <v>3</v>
      </c>
      <c r="B12" s="155" t="s">
        <v>0</v>
      </c>
      <c r="C12" s="156">
        <v>4</v>
      </c>
      <c r="D12" s="157">
        <v>75000</v>
      </c>
      <c r="E12" s="158">
        <v>0.2</v>
      </c>
      <c r="F12" s="157">
        <f t="shared" si="0"/>
        <v>360000</v>
      </c>
      <c r="G12" s="168">
        <v>0.1</v>
      </c>
      <c r="H12" s="159">
        <f t="shared" si="1"/>
        <v>36000</v>
      </c>
    </row>
    <row r="13" spans="1:8" ht="20.100000000000001" customHeight="1">
      <c r="A13" s="160">
        <v>4</v>
      </c>
      <c r="B13" s="161" t="s">
        <v>156</v>
      </c>
      <c r="C13" s="162">
        <v>2</v>
      </c>
      <c r="D13" s="163">
        <v>80000</v>
      </c>
      <c r="E13" s="158">
        <v>0.2</v>
      </c>
      <c r="F13" s="157">
        <f t="shared" si="0"/>
        <v>192000</v>
      </c>
      <c r="G13" s="169">
        <v>0.08</v>
      </c>
      <c r="H13" s="164">
        <f t="shared" si="1"/>
        <v>15360</v>
      </c>
    </row>
    <row r="14" spans="1:8" ht="19.5" thickBot="1">
      <c r="A14" s="47"/>
      <c r="B14" s="149" t="s">
        <v>158</v>
      </c>
      <c r="C14" s="150">
        <f>SUM(C10:C13)</f>
        <v>12</v>
      </c>
      <c r="D14" s="151"/>
      <c r="E14" s="151"/>
      <c r="F14" s="152">
        <f>SUM(F10:F13)</f>
        <v>854400</v>
      </c>
      <c r="G14" s="153">
        <f>H14/F14</f>
        <v>0.19410112359550563</v>
      </c>
      <c r="H14" s="152">
        <f>SUM(H10:H13)</f>
        <v>165840</v>
      </c>
    </row>
    <row r="15" spans="1:8" ht="15.75" thickTop="1"/>
    <row r="16" spans="1:8" ht="21">
      <c r="A16" s="135" t="s">
        <v>186</v>
      </c>
      <c r="B16" s="135"/>
      <c r="C16" s="135"/>
      <c r="D16" s="135"/>
      <c r="E16" s="135"/>
      <c r="F16" s="135"/>
      <c r="G16" s="135"/>
      <c r="H16" s="135"/>
    </row>
    <row r="17" spans="1:8" ht="21">
      <c r="A17" s="135"/>
      <c r="B17" s="135"/>
      <c r="C17" s="135"/>
      <c r="D17" s="135"/>
      <c r="E17" s="135"/>
      <c r="F17" s="135"/>
      <c r="G17" s="135"/>
      <c r="H17" s="135"/>
    </row>
    <row r="18" spans="1:8" ht="21">
      <c r="A18" s="135"/>
      <c r="B18" s="135"/>
      <c r="C18" s="135"/>
      <c r="D18" s="135"/>
      <c r="E18" s="135"/>
      <c r="F18" s="135"/>
      <c r="G18" s="135"/>
      <c r="H18" s="135"/>
    </row>
    <row r="19" spans="1:8" ht="21">
      <c r="A19" s="135"/>
      <c r="B19" s="135"/>
      <c r="C19" s="135"/>
      <c r="D19" s="135"/>
      <c r="E19" s="135"/>
      <c r="F19" s="135"/>
      <c r="G19" s="135"/>
      <c r="H19" s="135"/>
    </row>
    <row r="22" spans="1:8">
      <c r="A22" s="4" t="s">
        <v>183</v>
      </c>
      <c r="B22" s="4"/>
      <c r="C22" s="4"/>
      <c r="D22" s="4"/>
      <c r="E22" s="4"/>
      <c r="F22" s="4"/>
      <c r="G22" s="4"/>
      <c r="H22" s="4"/>
    </row>
  </sheetData>
  <printOptions horizontalCentered="1"/>
  <pageMargins left="0.7" right="0.7" top="0.75" bottom="0.75" header="0.3" footer="0.3"/>
  <pageSetup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22" sqref="C22"/>
    </sheetView>
  </sheetViews>
  <sheetFormatPr defaultRowHeight="15"/>
  <cols>
    <col min="1" max="1" width="75.5703125" customWidth="1"/>
    <col min="2" max="2" width="22" customWidth="1"/>
    <col min="3" max="3" width="18.28515625" bestFit="1" customWidth="1"/>
  </cols>
  <sheetData>
    <row r="1" spans="1:3" ht="32.25" customHeight="1"/>
    <row r="2" spans="1:3" ht="24" customHeight="1"/>
    <row r="3" spans="1:3" ht="21">
      <c r="A3" s="174" t="s">
        <v>189</v>
      </c>
      <c r="B3" s="4"/>
      <c r="C3" s="4"/>
    </row>
    <row r="4" spans="1:3">
      <c r="B4" s="5"/>
      <c r="C4" s="4"/>
    </row>
    <row r="5" spans="1:3" ht="27" thickBot="1">
      <c r="A5" s="138" t="s">
        <v>195</v>
      </c>
      <c r="B5" s="139"/>
      <c r="C5" s="140"/>
    </row>
    <row r="6" spans="1:3" ht="21.75" thickTop="1">
      <c r="A6" s="174" t="s">
        <v>149</v>
      </c>
      <c r="B6" s="40"/>
      <c r="C6" s="4"/>
    </row>
    <row r="7" spans="1:3" ht="18.75">
      <c r="A7" s="130"/>
      <c r="B7" s="40"/>
    </row>
    <row r="8" spans="1:3" s="131" customFormat="1" ht="21">
      <c r="A8" s="170" t="s">
        <v>184</v>
      </c>
      <c r="B8" s="171" t="s">
        <v>178</v>
      </c>
      <c r="C8" s="178">
        <v>10000000</v>
      </c>
    </row>
    <row r="9" spans="1:3" s="131" customFormat="1" ht="21">
      <c r="A9" s="172" t="s">
        <v>191</v>
      </c>
      <c r="B9" s="173">
        <v>0.12</v>
      </c>
      <c r="C9" s="179">
        <f>10000000*B9</f>
        <v>1200000</v>
      </c>
    </row>
    <row r="10" spans="1:3" s="131" customFormat="1" ht="21">
      <c r="A10" s="172" t="s">
        <v>101</v>
      </c>
      <c r="B10" s="173">
        <v>0.1</v>
      </c>
      <c r="C10" s="180">
        <f>10*1000000*B12*B10</f>
        <v>120000</v>
      </c>
    </row>
    <row r="11" spans="1:3" s="131" customFormat="1" ht="21">
      <c r="A11" s="172" t="s">
        <v>174</v>
      </c>
      <c r="B11" s="175">
        <v>0.25</v>
      </c>
      <c r="C11" s="180">
        <f>10*B11*1000000</f>
        <v>2500000</v>
      </c>
    </row>
    <row r="12" spans="1:3" s="131" customFormat="1" ht="21">
      <c r="A12" s="172" t="s">
        <v>170</v>
      </c>
      <c r="B12" s="173">
        <v>0.12</v>
      </c>
      <c r="C12" s="178">
        <f>C11*B12</f>
        <v>300000</v>
      </c>
    </row>
    <row r="13" spans="1:3" s="131" customFormat="1" ht="21">
      <c r="A13" s="172" t="s">
        <v>175</v>
      </c>
      <c r="B13" s="173">
        <v>0.3</v>
      </c>
      <c r="C13" s="178">
        <f>C12*B13</f>
        <v>90000</v>
      </c>
    </row>
    <row r="14" spans="1:3" s="131" customFormat="1" ht="21">
      <c r="A14" s="176" t="s">
        <v>187</v>
      </c>
      <c r="B14" s="184">
        <f>1-B13</f>
        <v>0.7</v>
      </c>
      <c r="C14" s="181">
        <f>C12*B14</f>
        <v>210000</v>
      </c>
    </row>
    <row r="15" spans="1:3" s="131" customFormat="1" ht="21.75" thickBot="1">
      <c r="A15" s="172" t="s">
        <v>193</v>
      </c>
      <c r="B15" s="132"/>
      <c r="C15" s="182">
        <f>-10000000*(1+B11)*60/9500</f>
        <v>-78947.368421052626</v>
      </c>
    </row>
    <row r="16" spans="1:3" s="131" customFormat="1" ht="21.75" thickBot="1">
      <c r="A16" s="186" t="s">
        <v>192</v>
      </c>
      <c r="B16" s="187">
        <f>C16/C10</f>
        <v>1.0921052631578947</v>
      </c>
      <c r="C16" s="188">
        <f>C14+C15</f>
        <v>131052.63157894737</v>
      </c>
    </row>
    <row r="18" spans="1:2" s="131" customFormat="1" ht="21">
      <c r="A18" s="176" t="s">
        <v>194</v>
      </c>
      <c r="B18" s="185">
        <f>(C10+C16)/(10000000*B12+C12)</f>
        <v>0.16736842105263158</v>
      </c>
    </row>
    <row r="19" spans="1:2" s="131" customFormat="1" ht="21">
      <c r="A19" s="177" t="s">
        <v>188</v>
      </c>
      <c r="B19" s="183">
        <f>(B18-B10)/B10</f>
        <v>0.67368421052631577</v>
      </c>
    </row>
    <row r="23" spans="1:2" ht="18.75">
      <c r="A23" s="127"/>
      <c r="B23" s="128"/>
    </row>
    <row r="24" spans="1:2">
      <c r="A24" s="4"/>
      <c r="B24" s="4"/>
    </row>
    <row r="25" spans="1:2">
      <c r="A25" s="4" t="s">
        <v>196</v>
      </c>
      <c r="B25" s="4"/>
    </row>
  </sheetData>
  <printOptions horizontalCentered="1"/>
  <pageMargins left="0.7" right="0.7" top="0.5" bottom="0.5" header="0.3" footer="0.3"/>
  <pageSetup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"/>
  <sheetViews>
    <sheetView topLeftCell="A3" workbookViewId="0">
      <selection activeCell="A5" sqref="A5"/>
    </sheetView>
  </sheetViews>
  <sheetFormatPr defaultRowHeight="15"/>
  <cols>
    <col min="1" max="1" width="75.5703125" customWidth="1"/>
    <col min="2" max="2" width="22" customWidth="1"/>
    <col min="3" max="3" width="18.28515625" bestFit="1" customWidth="1"/>
  </cols>
  <sheetData>
    <row r="1" spans="1:3" ht="32.25" customHeight="1"/>
    <row r="2" spans="1:3" ht="24" customHeight="1"/>
    <row r="3" spans="1:3" ht="21">
      <c r="A3" s="174" t="s">
        <v>189</v>
      </c>
      <c r="B3" s="4"/>
      <c r="C3" s="4"/>
    </row>
    <row r="4" spans="1:3">
      <c r="B4" s="5"/>
      <c r="C4" s="4"/>
    </row>
    <row r="5" spans="1:3" ht="27" thickBot="1">
      <c r="A5" s="138" t="s">
        <v>195</v>
      </c>
      <c r="B5" s="139"/>
      <c r="C5" s="140"/>
    </row>
    <row r="6" spans="1:3" ht="21.75" thickTop="1">
      <c r="A6" s="174" t="s">
        <v>149</v>
      </c>
      <c r="B6" s="40"/>
      <c r="C6" s="4"/>
    </row>
    <row r="7" spans="1:3" ht="18.75">
      <c r="A7" s="130"/>
      <c r="B7" s="40"/>
    </row>
    <row r="8" spans="1:3" s="131" customFormat="1" ht="21">
      <c r="A8" s="170" t="s">
        <v>184</v>
      </c>
      <c r="B8" s="171" t="s">
        <v>178</v>
      </c>
      <c r="C8" s="178">
        <v>10000000</v>
      </c>
    </row>
    <row r="9" spans="1:3" s="131" customFormat="1" ht="21">
      <c r="A9" s="172" t="s">
        <v>191</v>
      </c>
      <c r="B9" s="173">
        <v>0.12</v>
      </c>
      <c r="C9" s="179">
        <f>10000000*B9</f>
        <v>1200000</v>
      </c>
    </row>
    <row r="10" spans="1:3" s="131" customFormat="1" ht="21">
      <c r="A10" s="172" t="s">
        <v>101</v>
      </c>
      <c r="B10" s="173">
        <v>0.1</v>
      </c>
      <c r="C10" s="180">
        <f>10*1000000*B12*B10</f>
        <v>120000</v>
      </c>
    </row>
    <row r="11" spans="1:3" s="131" customFormat="1" ht="21">
      <c r="A11" s="172" t="s">
        <v>174</v>
      </c>
      <c r="B11" s="175">
        <v>0.2</v>
      </c>
      <c r="C11" s="180">
        <f>10*B11*1000000</f>
        <v>2000000</v>
      </c>
    </row>
    <row r="12" spans="1:3" s="131" customFormat="1" ht="21">
      <c r="A12" s="172" t="s">
        <v>170</v>
      </c>
      <c r="B12" s="173">
        <v>0.12</v>
      </c>
      <c r="C12" s="178">
        <f>C11*B12</f>
        <v>240000</v>
      </c>
    </row>
    <row r="13" spans="1:3" s="131" customFormat="1" ht="21">
      <c r="A13" s="172" t="s">
        <v>175</v>
      </c>
      <c r="B13" s="173">
        <v>0.3</v>
      </c>
      <c r="C13" s="178">
        <f>C12*B13</f>
        <v>72000</v>
      </c>
    </row>
    <row r="14" spans="1:3" s="131" customFormat="1" ht="21">
      <c r="A14" s="176" t="s">
        <v>187</v>
      </c>
      <c r="B14" s="184">
        <f>1-B13</f>
        <v>0.7</v>
      </c>
      <c r="C14" s="181">
        <f>C12*B14</f>
        <v>168000</v>
      </c>
    </row>
    <row r="15" spans="1:3" s="131" customFormat="1" ht="21.75" thickBot="1">
      <c r="A15" s="172" t="s">
        <v>190</v>
      </c>
      <c r="B15" s="132"/>
      <c r="C15" s="182">
        <f>-10000000*(1+B11)*60/9500</f>
        <v>-75789.473684210519</v>
      </c>
    </row>
    <row r="16" spans="1:3" s="131" customFormat="1" ht="21.75" thickBot="1">
      <c r="A16" s="186" t="s">
        <v>192</v>
      </c>
      <c r="B16" s="187">
        <f>C16/C10</f>
        <v>0.768421052631579</v>
      </c>
      <c r="C16" s="188">
        <f>C14+C15</f>
        <v>92210.526315789481</v>
      </c>
    </row>
    <row r="18" spans="1:2" s="131" customFormat="1" ht="21">
      <c r="A18" s="176" t="s">
        <v>194</v>
      </c>
      <c r="B18" s="185">
        <f>(C10+C16)/(10000000*B12+C12)</f>
        <v>0.14736842105263159</v>
      </c>
    </row>
    <row r="19" spans="1:2" s="131" customFormat="1" ht="21">
      <c r="A19" s="177" t="s">
        <v>188</v>
      </c>
      <c r="B19" s="183">
        <f>(B18-B10)/B10</f>
        <v>0.47368421052631587</v>
      </c>
    </row>
    <row r="23" spans="1:2" ht="18.75">
      <c r="A23" s="127"/>
      <c r="B23" s="128"/>
    </row>
    <row r="24" spans="1:2">
      <c r="A24" s="4"/>
      <c r="B24" s="4"/>
    </row>
    <row r="25" spans="1:2">
      <c r="A25" s="4" t="s">
        <v>183</v>
      </c>
      <c r="B25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6" sqref="A16"/>
    </sheetView>
  </sheetViews>
  <sheetFormatPr defaultRowHeight="15"/>
  <cols>
    <col min="1" max="1" width="75.5703125" customWidth="1"/>
    <col min="2" max="2" width="22" customWidth="1"/>
    <col min="3" max="3" width="18.28515625" bestFit="1" customWidth="1"/>
  </cols>
  <sheetData>
    <row r="1" spans="1:3" ht="21">
      <c r="A1" s="174" t="s">
        <v>189</v>
      </c>
      <c r="B1" s="4"/>
      <c r="C1" s="4"/>
    </row>
    <row r="2" spans="1:3">
      <c r="B2" s="5"/>
      <c r="C2" s="4"/>
    </row>
    <row r="3" spans="1:3" ht="27" thickBot="1">
      <c r="A3" s="138" t="s">
        <v>177</v>
      </c>
      <c r="B3" s="139"/>
      <c r="C3" s="140"/>
    </row>
    <row r="4" spans="1:3" ht="21.75" thickTop="1">
      <c r="A4" s="174" t="s">
        <v>149</v>
      </c>
      <c r="B4" s="40"/>
      <c r="C4" s="4"/>
    </row>
    <row r="5" spans="1:3" ht="18.75">
      <c r="A5" s="130"/>
      <c r="B5" s="40"/>
    </row>
    <row r="6" spans="1:3" s="131" customFormat="1" ht="21">
      <c r="A6" s="170" t="s">
        <v>184</v>
      </c>
      <c r="B6" s="171" t="s">
        <v>178</v>
      </c>
      <c r="C6" s="178">
        <v>10000000</v>
      </c>
    </row>
    <row r="7" spans="1:3" s="131" customFormat="1" ht="21">
      <c r="A7" s="172" t="s">
        <v>191</v>
      </c>
      <c r="B7" s="173">
        <v>0.12</v>
      </c>
      <c r="C7" s="179">
        <f>10000000*B7</f>
        <v>1200000</v>
      </c>
    </row>
    <row r="8" spans="1:3" s="131" customFormat="1" ht="21">
      <c r="A8" s="172" t="s">
        <v>101</v>
      </c>
      <c r="B8" s="173">
        <v>0.1</v>
      </c>
      <c r="C8" s="180">
        <f>10*1000000*B10*B8</f>
        <v>120000</v>
      </c>
    </row>
    <row r="9" spans="1:3" s="131" customFormat="1" ht="21">
      <c r="A9" s="172" t="s">
        <v>174</v>
      </c>
      <c r="B9" s="175">
        <v>0.15</v>
      </c>
      <c r="C9" s="180">
        <f>10*B9*1000000</f>
        <v>1500000</v>
      </c>
    </row>
    <row r="10" spans="1:3" s="131" customFormat="1" ht="21">
      <c r="A10" s="172" t="s">
        <v>170</v>
      </c>
      <c r="B10" s="173">
        <v>0.12</v>
      </c>
      <c r="C10" s="178">
        <f>C9*B10</f>
        <v>180000</v>
      </c>
    </row>
    <row r="11" spans="1:3" s="131" customFormat="1" ht="21">
      <c r="A11" s="172" t="s">
        <v>175</v>
      </c>
      <c r="B11" s="173">
        <v>0.3</v>
      </c>
      <c r="C11" s="178">
        <f>C10*B11</f>
        <v>54000</v>
      </c>
    </row>
    <row r="12" spans="1:3" s="131" customFormat="1" ht="21">
      <c r="A12" s="176" t="s">
        <v>187</v>
      </c>
      <c r="B12" s="184">
        <f>1-B11</f>
        <v>0.7</v>
      </c>
      <c r="C12" s="181">
        <f>C10*B12</f>
        <v>125999.99999999999</v>
      </c>
    </row>
    <row r="13" spans="1:3" s="131" customFormat="1" ht="21.75" thickBot="1">
      <c r="A13" s="172" t="s">
        <v>190</v>
      </c>
      <c r="B13" s="132"/>
      <c r="C13" s="182">
        <f>-10000000*(1+B9)*60/9500</f>
        <v>-72631.578947368427</v>
      </c>
    </row>
    <row r="14" spans="1:3" s="131" customFormat="1" ht="21.75" thickBot="1">
      <c r="A14" s="186" t="s">
        <v>192</v>
      </c>
      <c r="B14" s="187">
        <f>C14/C8</f>
        <v>0.44473684210526299</v>
      </c>
      <c r="C14" s="188">
        <f>C12+C13</f>
        <v>53368.421052631558</v>
      </c>
    </row>
    <row r="16" spans="1:3" s="131" customFormat="1" ht="21">
      <c r="A16" s="176" t="s">
        <v>194</v>
      </c>
      <c r="B16" s="185">
        <f>(C8+C14)/(10000000*B10+C10)</f>
        <v>0.12562929061784897</v>
      </c>
    </row>
    <row r="17" spans="1:2" s="131" customFormat="1" ht="21">
      <c r="A17" s="177" t="s">
        <v>188</v>
      </c>
      <c r="B17" s="183">
        <f>(B16-B8)/B8</f>
        <v>0.25629290617848965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3" sqref="A3"/>
    </sheetView>
  </sheetViews>
  <sheetFormatPr defaultRowHeight="15"/>
  <cols>
    <col min="1" max="1" width="75.5703125" customWidth="1"/>
    <col min="2" max="2" width="22" customWidth="1"/>
    <col min="3" max="3" width="18.28515625" bestFit="1" customWidth="1"/>
  </cols>
  <sheetData>
    <row r="1" spans="1:3" ht="21">
      <c r="A1" s="174" t="s">
        <v>189</v>
      </c>
      <c r="B1" s="4"/>
      <c r="C1" s="4"/>
    </row>
    <row r="2" spans="1:3">
      <c r="B2" s="5"/>
      <c r="C2" s="4"/>
    </row>
    <row r="3" spans="1:3" ht="27" thickBot="1">
      <c r="A3" s="138" t="s">
        <v>195</v>
      </c>
      <c r="B3" s="139"/>
      <c r="C3" s="140"/>
    </row>
    <row r="4" spans="1:3" ht="21.75" thickTop="1">
      <c r="A4" s="174" t="s">
        <v>149</v>
      </c>
      <c r="B4" s="40"/>
      <c r="C4" s="4"/>
    </row>
    <row r="5" spans="1:3" ht="18.75">
      <c r="A5" s="130"/>
      <c r="B5" s="40"/>
    </row>
    <row r="6" spans="1:3" s="131" customFormat="1" ht="21">
      <c r="A6" s="170" t="s">
        <v>184</v>
      </c>
      <c r="B6" s="171" t="s">
        <v>178</v>
      </c>
      <c r="C6" s="178">
        <v>10000000</v>
      </c>
    </row>
    <row r="7" spans="1:3" s="131" customFormat="1" ht="21">
      <c r="A7" s="172" t="s">
        <v>191</v>
      </c>
      <c r="B7" s="173">
        <v>0.12</v>
      </c>
      <c r="C7" s="179">
        <f>10000000*B7</f>
        <v>1200000</v>
      </c>
    </row>
    <row r="8" spans="1:3" s="131" customFormat="1" ht="21">
      <c r="A8" s="172" t="s">
        <v>101</v>
      </c>
      <c r="B8" s="173">
        <v>0.1</v>
      </c>
      <c r="C8" s="180">
        <f>10*1000000*B10*B8</f>
        <v>120000</v>
      </c>
    </row>
    <row r="9" spans="1:3" s="131" customFormat="1" ht="21">
      <c r="A9" s="172" t="s">
        <v>174</v>
      </c>
      <c r="B9" s="175">
        <v>0.1</v>
      </c>
      <c r="C9" s="180">
        <f>10*B9*1000000</f>
        <v>1000000</v>
      </c>
    </row>
    <row r="10" spans="1:3" s="131" customFormat="1" ht="21">
      <c r="A10" s="172" t="s">
        <v>170</v>
      </c>
      <c r="B10" s="173">
        <v>0.12</v>
      </c>
      <c r="C10" s="178">
        <f>C9*B10</f>
        <v>120000</v>
      </c>
    </row>
    <row r="11" spans="1:3" s="131" customFormat="1" ht="21">
      <c r="A11" s="172" t="s">
        <v>175</v>
      </c>
      <c r="B11" s="173">
        <v>0.3</v>
      </c>
      <c r="C11" s="178">
        <f>C10*B11</f>
        <v>36000</v>
      </c>
    </row>
    <row r="12" spans="1:3" s="131" customFormat="1" ht="21">
      <c r="A12" s="176" t="s">
        <v>187</v>
      </c>
      <c r="B12" s="184">
        <f>1-B11</f>
        <v>0.7</v>
      </c>
      <c r="C12" s="181">
        <f>C10*B12</f>
        <v>84000</v>
      </c>
    </row>
    <row r="13" spans="1:3" s="131" customFormat="1" ht="21.75" thickBot="1">
      <c r="A13" s="172" t="s">
        <v>190</v>
      </c>
      <c r="B13" s="132"/>
      <c r="C13" s="182">
        <f>-10000000*(1+B9)*60/9500</f>
        <v>-69473.68421052632</v>
      </c>
    </row>
    <row r="14" spans="1:3" s="131" customFormat="1" ht="21.75" thickBot="1">
      <c r="A14" s="186" t="s">
        <v>192</v>
      </c>
      <c r="B14" s="187">
        <f>C14/C8</f>
        <v>0.12105263157894733</v>
      </c>
      <c r="C14" s="188">
        <f>C12+C13</f>
        <v>14526.31578947368</v>
      </c>
    </row>
    <row r="16" spans="1:3" s="131" customFormat="1" ht="21">
      <c r="A16" s="176" t="s">
        <v>194</v>
      </c>
      <c r="B16" s="185">
        <f>(C8+C14)/(10000000*B10+C10)</f>
        <v>0.10191387559808612</v>
      </c>
    </row>
    <row r="17" spans="1:2" s="131" customFormat="1" ht="21">
      <c r="A17" s="177" t="s">
        <v>188</v>
      </c>
      <c r="B17" s="183">
        <f>(B16-B8)/B8</f>
        <v>1.9138755980861177E-2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F7" sqref="F7"/>
    </sheetView>
  </sheetViews>
  <sheetFormatPr defaultRowHeight="15"/>
  <cols>
    <col min="1" max="1" width="77.28515625" customWidth="1"/>
    <col min="2" max="2" width="22" customWidth="1"/>
    <col min="3" max="3" width="18.28515625" bestFit="1" customWidth="1"/>
  </cols>
  <sheetData>
    <row r="1" spans="1:3" ht="32.25" customHeight="1" thickBot="1">
      <c r="A1" s="201" t="s">
        <v>202</v>
      </c>
      <c r="B1" s="202"/>
      <c r="C1" s="202"/>
    </row>
    <row r="2" spans="1:3" ht="20.25" customHeight="1" thickTop="1">
      <c r="A2" s="235" t="s">
        <v>210</v>
      </c>
      <c r="B2" s="203"/>
      <c r="C2" s="203"/>
    </row>
    <row r="3" spans="1:3" ht="26.25">
      <c r="A3" s="204" t="s">
        <v>195</v>
      </c>
      <c r="B3" s="205"/>
      <c r="C3" s="206"/>
    </row>
    <row r="4" spans="1:3" ht="21">
      <c r="A4" s="238" t="s">
        <v>211</v>
      </c>
      <c r="B4" s="203"/>
      <c r="C4" s="203"/>
    </row>
    <row r="5" spans="1:3" ht="21">
      <c r="A5" s="207"/>
      <c r="B5" s="208"/>
      <c r="C5" s="203"/>
    </row>
    <row r="6" spans="1:3" ht="19.5" thickBot="1">
      <c r="A6" s="209"/>
      <c r="B6" s="233" t="s">
        <v>198</v>
      </c>
      <c r="C6" s="234" t="s">
        <v>197</v>
      </c>
    </row>
    <row r="7" spans="1:3" s="131" customFormat="1" ht="21.75" thickTop="1">
      <c r="A7" s="225" t="s">
        <v>184</v>
      </c>
      <c r="B7" s="200" t="s">
        <v>206</v>
      </c>
      <c r="C7" s="199">
        <v>6500000</v>
      </c>
    </row>
    <row r="8" spans="1:3" s="131" customFormat="1" ht="21">
      <c r="A8" s="226" t="s">
        <v>200</v>
      </c>
      <c r="B8" s="237">
        <v>0.125</v>
      </c>
      <c r="C8" s="215">
        <f>C7*B8</f>
        <v>812500</v>
      </c>
    </row>
    <row r="9" spans="1:3" s="131" customFormat="1" ht="21">
      <c r="A9" s="226" t="s">
        <v>95</v>
      </c>
      <c r="B9" s="237">
        <v>0.08</v>
      </c>
      <c r="C9" s="216">
        <f>C8*B9</f>
        <v>65000</v>
      </c>
    </row>
    <row r="10" spans="1:3" s="131" customFormat="1" ht="21">
      <c r="A10" s="226" t="s">
        <v>174</v>
      </c>
      <c r="B10" s="194">
        <v>0.2</v>
      </c>
      <c r="C10" s="216">
        <f>B10*C7</f>
        <v>1300000</v>
      </c>
    </row>
    <row r="11" spans="1:3" s="131" customFormat="1" ht="21">
      <c r="A11" s="226" t="s">
        <v>170</v>
      </c>
      <c r="B11" s="237">
        <v>0.12</v>
      </c>
      <c r="C11" s="217">
        <f>C10*B11</f>
        <v>156000</v>
      </c>
    </row>
    <row r="12" spans="1:3" s="131" customFormat="1" ht="21">
      <c r="A12" s="226" t="s">
        <v>175</v>
      </c>
      <c r="B12" s="193">
        <v>0.3</v>
      </c>
      <c r="C12" s="217">
        <f>C11*B12</f>
        <v>46800</v>
      </c>
    </row>
    <row r="13" spans="1:3" s="131" customFormat="1" ht="21">
      <c r="A13" s="227" t="s">
        <v>199</v>
      </c>
      <c r="B13" s="195">
        <f>1-B12</f>
        <v>0.7</v>
      </c>
      <c r="C13" s="218">
        <f>C11*B13</f>
        <v>109200</v>
      </c>
    </row>
    <row r="14" spans="1:3" s="131" customFormat="1" ht="21.75" thickBot="1">
      <c r="A14" s="226" t="s">
        <v>201</v>
      </c>
      <c r="B14" s="196"/>
      <c r="C14" s="219">
        <f>-B21*65</f>
        <v>-63375</v>
      </c>
    </row>
    <row r="15" spans="1:3" s="131" customFormat="1" ht="21.75" thickBot="1">
      <c r="A15" s="228" t="s">
        <v>205</v>
      </c>
      <c r="B15" s="221">
        <f>C15/C9</f>
        <v>0.70499999999999996</v>
      </c>
      <c r="C15" s="220">
        <f>C13+C14</f>
        <v>45825</v>
      </c>
    </row>
    <row r="16" spans="1:3">
      <c r="A16" s="211"/>
      <c r="B16" s="222"/>
      <c r="C16" s="197"/>
    </row>
    <row r="17" spans="1:3" s="131" customFormat="1" ht="21">
      <c r="A17" s="227" t="s">
        <v>214</v>
      </c>
      <c r="B17" s="223">
        <f>(C9+C15)/(C8+C11)</f>
        <v>0.11442953020134228</v>
      </c>
    </row>
    <row r="18" spans="1:3" s="131" customFormat="1" ht="21">
      <c r="A18" s="227" t="s">
        <v>213</v>
      </c>
      <c r="B18" s="224">
        <f>(B17-B9)/B9</f>
        <v>0.43036912751677842</v>
      </c>
    </row>
    <row r="20" spans="1:3">
      <c r="A20" s="229" t="s">
        <v>209</v>
      </c>
      <c r="B20" s="236">
        <v>8000</v>
      </c>
    </row>
    <row r="21" spans="1:3">
      <c r="A21" s="229" t="s">
        <v>212</v>
      </c>
      <c r="B21" s="232">
        <f>(C7+C10)/B20</f>
        <v>975</v>
      </c>
    </row>
    <row r="22" spans="1:3">
      <c r="A22" s="230" t="s">
        <v>146</v>
      </c>
      <c r="B22" s="198"/>
    </row>
    <row r="23" spans="1:3">
      <c r="A23" s="210" t="s">
        <v>208</v>
      </c>
    </row>
    <row r="24" spans="1:3">
      <c r="A24" s="210" t="s">
        <v>203</v>
      </c>
    </row>
    <row r="25" spans="1:3">
      <c r="A25" s="210" t="s">
        <v>204</v>
      </c>
    </row>
    <row r="26" spans="1:3">
      <c r="A26" s="210" t="s">
        <v>215</v>
      </c>
    </row>
    <row r="27" spans="1:3">
      <c r="A27" s="210"/>
    </row>
    <row r="28" spans="1:3">
      <c r="A28" s="231" t="s">
        <v>207</v>
      </c>
      <c r="B28" s="88"/>
      <c r="C28" s="88"/>
    </row>
  </sheetData>
  <printOptions horizontalCentered="1"/>
  <pageMargins left="0.7" right="0.7" top="0.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opLeftCell="A16" workbookViewId="0">
      <selection activeCell="A31" sqref="A31:XFD31"/>
    </sheetView>
  </sheetViews>
  <sheetFormatPr defaultRowHeight="15"/>
  <cols>
    <col min="1" max="1" width="5" customWidth="1"/>
    <col min="2" max="2" width="34.85546875" customWidth="1"/>
    <col min="3" max="3" width="13.7109375" customWidth="1"/>
    <col min="5" max="5" width="4.140625" customWidth="1"/>
    <col min="6" max="6" width="5.140625" customWidth="1"/>
    <col min="7" max="7" width="34.28515625" customWidth="1"/>
    <col min="8" max="8" width="13.140625" customWidth="1"/>
  </cols>
  <sheetData>
    <row r="1" spans="1:9" ht="37.5" customHeight="1"/>
    <row r="2" spans="1:9" ht="18.75" customHeight="1"/>
    <row r="3" spans="1:9">
      <c r="A3" s="5" t="s">
        <v>17</v>
      </c>
      <c r="B3" s="4"/>
      <c r="C3" s="4"/>
      <c r="D3" s="4"/>
      <c r="E3" s="4"/>
      <c r="F3" s="4"/>
      <c r="G3" s="4"/>
      <c r="H3" s="4"/>
    </row>
    <row r="4" spans="1:9" ht="24" customHeight="1">
      <c r="A4" s="19" t="s">
        <v>44</v>
      </c>
      <c r="B4" s="4"/>
      <c r="C4" s="4"/>
      <c r="D4" s="4"/>
      <c r="E4" s="4"/>
      <c r="F4" s="4"/>
      <c r="G4" s="4"/>
      <c r="H4" s="4"/>
    </row>
    <row r="5" spans="1:9" ht="24" customHeight="1">
      <c r="A5" s="19"/>
      <c r="B5" s="4"/>
      <c r="C5" s="4"/>
      <c r="D5" s="4"/>
      <c r="E5" s="4"/>
      <c r="F5" s="4"/>
      <c r="G5" s="4"/>
      <c r="H5" s="4"/>
    </row>
    <row r="6" spans="1:9" ht="19.5" thickBot="1">
      <c r="A6" s="31" t="s">
        <v>45</v>
      </c>
      <c r="B6" s="31"/>
      <c r="C6" s="32"/>
      <c r="D6" s="31"/>
      <c r="E6" s="31"/>
      <c r="F6" s="31"/>
      <c r="G6" s="31"/>
      <c r="H6" s="32"/>
    </row>
    <row r="7" spans="1:9" ht="19.5" thickTop="1">
      <c r="A7" s="39"/>
      <c r="B7" s="39"/>
      <c r="C7" s="40"/>
      <c r="D7" s="39"/>
      <c r="E7" s="39"/>
      <c r="F7" s="39"/>
      <c r="G7" s="39"/>
      <c r="H7" s="40"/>
    </row>
    <row r="8" spans="1:9">
      <c r="A8" s="12"/>
      <c r="B8" s="7" t="s">
        <v>9</v>
      </c>
      <c r="C8" s="12"/>
      <c r="D8" s="20"/>
      <c r="F8" s="12"/>
      <c r="G8" s="7" t="s">
        <v>20</v>
      </c>
      <c r="H8" s="12"/>
      <c r="I8" s="20"/>
    </row>
    <row r="9" spans="1:9">
      <c r="A9">
        <v>1</v>
      </c>
      <c r="B9" t="s">
        <v>35</v>
      </c>
      <c r="C9" s="1">
        <v>15</v>
      </c>
      <c r="F9">
        <v>1</v>
      </c>
      <c r="G9" t="s">
        <v>35</v>
      </c>
      <c r="H9" s="1">
        <v>25</v>
      </c>
    </row>
    <row r="10" spans="1:9">
      <c r="A10">
        <v>2</v>
      </c>
      <c r="B10" t="s">
        <v>0</v>
      </c>
      <c r="C10">
        <v>5</v>
      </c>
      <c r="F10">
        <v>2</v>
      </c>
      <c r="G10" t="s">
        <v>0</v>
      </c>
      <c r="H10">
        <v>7</v>
      </c>
    </row>
    <row r="11" spans="1:9">
      <c r="A11">
        <v>3</v>
      </c>
      <c r="B11" t="s">
        <v>1</v>
      </c>
      <c r="C11">
        <v>5</v>
      </c>
      <c r="F11">
        <v>3</v>
      </c>
      <c r="G11" t="s">
        <v>1</v>
      </c>
      <c r="H11">
        <v>6</v>
      </c>
    </row>
    <row r="12" spans="1:9">
      <c r="A12" s="12">
        <v>4</v>
      </c>
      <c r="B12" s="12" t="s">
        <v>2</v>
      </c>
      <c r="C12" s="12">
        <v>2</v>
      </c>
      <c r="D12" s="20"/>
      <c r="E12" s="20"/>
      <c r="F12" s="12">
        <v>4</v>
      </c>
      <c r="G12" s="12" t="s">
        <v>2</v>
      </c>
      <c r="H12" s="12">
        <v>3</v>
      </c>
    </row>
    <row r="13" spans="1:9">
      <c r="A13">
        <v>5</v>
      </c>
      <c r="B13" t="s">
        <v>3</v>
      </c>
      <c r="C13" s="41" t="s">
        <v>50</v>
      </c>
      <c r="F13">
        <v>5</v>
      </c>
      <c r="G13" t="s">
        <v>3</v>
      </c>
      <c r="H13" s="41" t="s">
        <v>50</v>
      </c>
    </row>
    <row r="14" spans="1:9">
      <c r="A14">
        <v>6</v>
      </c>
      <c r="B14" t="s">
        <v>4</v>
      </c>
      <c r="C14" s="2">
        <v>0.25</v>
      </c>
      <c r="F14">
        <v>6</v>
      </c>
      <c r="G14" t="s">
        <v>4</v>
      </c>
      <c r="H14" s="2">
        <v>0.25</v>
      </c>
    </row>
    <row r="15" spans="1:9">
      <c r="A15">
        <v>7</v>
      </c>
      <c r="B15" t="s">
        <v>5</v>
      </c>
      <c r="C15" s="8">
        <v>0.25</v>
      </c>
      <c r="F15">
        <v>7</v>
      </c>
      <c r="G15" t="s">
        <v>5</v>
      </c>
      <c r="H15" s="8">
        <v>0.25</v>
      </c>
    </row>
    <row r="16" spans="1:9">
      <c r="A16">
        <v>8</v>
      </c>
      <c r="B16" t="s">
        <v>6</v>
      </c>
      <c r="C16" s="3">
        <f>C9*C15*1000000</f>
        <v>3750000</v>
      </c>
      <c r="F16">
        <v>8</v>
      </c>
      <c r="G16" t="s">
        <v>6</v>
      </c>
      <c r="H16" s="3">
        <f>H9*H15*1000000</f>
        <v>6250000</v>
      </c>
    </row>
    <row r="17" spans="1:9">
      <c r="A17">
        <v>9</v>
      </c>
      <c r="B17" t="s">
        <v>10</v>
      </c>
      <c r="C17" s="2">
        <v>0.12</v>
      </c>
      <c r="F17">
        <v>9</v>
      </c>
      <c r="G17" t="s">
        <v>10</v>
      </c>
      <c r="H17" s="2">
        <v>0.12</v>
      </c>
    </row>
    <row r="18" spans="1:9">
      <c r="A18">
        <v>10</v>
      </c>
      <c r="B18" t="s">
        <v>11</v>
      </c>
      <c r="C18" s="11">
        <f>C16*C17</f>
        <v>450000</v>
      </c>
      <c r="F18">
        <v>10</v>
      </c>
      <c r="G18" t="s">
        <v>11</v>
      </c>
      <c r="H18" s="11">
        <f>H16*H17</f>
        <v>750000</v>
      </c>
    </row>
    <row r="19" spans="1:9">
      <c r="A19">
        <v>11</v>
      </c>
      <c r="B19" t="s">
        <v>21</v>
      </c>
      <c r="C19" s="2">
        <v>0.3</v>
      </c>
      <c r="F19">
        <v>11</v>
      </c>
      <c r="G19" t="s">
        <v>21</v>
      </c>
      <c r="H19" s="2">
        <v>0.3</v>
      </c>
    </row>
    <row r="20" spans="1:9">
      <c r="A20">
        <v>12</v>
      </c>
      <c r="B20" t="s">
        <v>22</v>
      </c>
      <c r="C20" s="3">
        <f>C18*C19</f>
        <v>135000</v>
      </c>
      <c r="F20">
        <v>12</v>
      </c>
      <c r="G20" t="s">
        <v>22</v>
      </c>
      <c r="H20" s="3">
        <f>H18*H19</f>
        <v>225000</v>
      </c>
    </row>
    <row r="21" spans="1:9" ht="15.75" thickBot="1">
      <c r="A21" s="9">
        <v>13</v>
      </c>
      <c r="B21" s="9" t="s">
        <v>7</v>
      </c>
      <c r="C21" s="10">
        <f>C18-C20</f>
        <v>315000</v>
      </c>
      <c r="D21" s="6"/>
      <c r="E21" s="6"/>
      <c r="F21" s="9">
        <v>13</v>
      </c>
      <c r="G21" s="9" t="s">
        <v>7</v>
      </c>
      <c r="H21" s="10">
        <f>H18-H20</f>
        <v>525000</v>
      </c>
    </row>
    <row r="22" spans="1:9" ht="15.75" thickTop="1">
      <c r="A22" s="16" t="s">
        <v>24</v>
      </c>
      <c r="F22" s="16" t="s">
        <v>24</v>
      </c>
    </row>
    <row r="23" spans="1:9">
      <c r="A23" s="35">
        <v>14</v>
      </c>
      <c r="B23" t="s">
        <v>39</v>
      </c>
      <c r="C23" s="2">
        <v>0.08</v>
      </c>
      <c r="F23" s="35">
        <v>14</v>
      </c>
      <c r="G23" t="s">
        <v>39</v>
      </c>
      <c r="H23" s="2">
        <v>0.08</v>
      </c>
    </row>
    <row r="24" spans="1:9">
      <c r="A24">
        <v>15</v>
      </c>
      <c r="B24" t="s">
        <v>42</v>
      </c>
      <c r="C24" s="3">
        <f>C9*1000000*C17*C23</f>
        <v>144000</v>
      </c>
      <c r="F24">
        <v>15</v>
      </c>
      <c r="G24" t="s">
        <v>42</v>
      </c>
      <c r="H24" s="3">
        <f>H9*1000000*H17*H23</f>
        <v>240000</v>
      </c>
    </row>
    <row r="25" spans="1:9">
      <c r="A25">
        <v>16</v>
      </c>
      <c r="B25" t="s">
        <v>16</v>
      </c>
      <c r="C25" s="3">
        <f>C24+C21</f>
        <v>459000</v>
      </c>
      <c r="F25">
        <v>16</v>
      </c>
      <c r="G25" t="s">
        <v>16</v>
      </c>
      <c r="H25" s="3">
        <f>H24+H21</f>
        <v>765000</v>
      </c>
    </row>
    <row r="26" spans="1:9">
      <c r="A26" s="17">
        <v>17</v>
      </c>
      <c r="B26" s="17" t="s">
        <v>24</v>
      </c>
      <c r="C26" s="18">
        <f>(C25-C24)/C24</f>
        <v>2.1875</v>
      </c>
      <c r="F26" s="17">
        <v>17</v>
      </c>
      <c r="G26" s="17" t="s">
        <v>24</v>
      </c>
      <c r="H26" s="18">
        <f>(H25-H24)/H24</f>
        <v>2.1875</v>
      </c>
    </row>
    <row r="28" spans="1:9" ht="15.75" customHeight="1">
      <c r="A28" s="39"/>
      <c r="B28" s="39"/>
      <c r="C28" s="40"/>
      <c r="D28" s="39"/>
      <c r="E28" s="39"/>
      <c r="F28" s="39"/>
      <c r="G28" s="39"/>
      <c r="H28" s="40"/>
      <c r="I28" s="20"/>
    </row>
    <row r="29" spans="1:9" ht="18.75">
      <c r="A29" s="39"/>
      <c r="B29" s="39"/>
      <c r="C29" s="40"/>
      <c r="D29" s="39"/>
      <c r="E29" s="39"/>
      <c r="F29" s="39"/>
      <c r="G29" s="39"/>
      <c r="H29" s="40"/>
      <c r="I29" s="20"/>
    </row>
    <row r="30" spans="1:9" ht="18.75">
      <c r="A30" s="39"/>
      <c r="B30" s="39"/>
      <c r="C30" s="40"/>
      <c r="D30" s="39"/>
      <c r="E30" s="39"/>
      <c r="F30" s="39"/>
      <c r="G30" s="39"/>
      <c r="H30" s="40"/>
      <c r="I30" s="20"/>
    </row>
    <row r="31" spans="1:9" ht="19.5" thickBot="1">
      <c r="A31" s="31" t="s">
        <v>37</v>
      </c>
      <c r="B31" s="31"/>
      <c r="C31" s="32"/>
      <c r="D31" s="31"/>
      <c r="E31" s="31"/>
      <c r="F31" s="31"/>
      <c r="G31" s="31"/>
      <c r="H31" s="32"/>
      <c r="I31" s="20"/>
    </row>
    <row r="32" spans="1:9" ht="15.75" thickTop="1">
      <c r="A32" s="12"/>
      <c r="B32" s="7" t="s">
        <v>8</v>
      </c>
      <c r="C32" s="12"/>
      <c r="D32" s="20"/>
      <c r="E32" s="20"/>
      <c r="F32" s="12"/>
      <c r="G32" s="7" t="s">
        <v>9</v>
      </c>
      <c r="H32" s="12"/>
      <c r="I32" s="20"/>
    </row>
    <row r="33" spans="1:9">
      <c r="A33" s="26"/>
      <c r="B33" s="26" t="s">
        <v>35</v>
      </c>
      <c r="C33" s="27">
        <f>C9</f>
        <v>15</v>
      </c>
      <c r="D33" s="20"/>
      <c r="E33" s="20"/>
      <c r="F33" s="26"/>
      <c r="G33" s="26" t="s">
        <v>35</v>
      </c>
      <c r="H33" s="27">
        <f>H9</f>
        <v>25</v>
      </c>
      <c r="I33" s="20"/>
    </row>
    <row r="34" spans="1:9">
      <c r="A34" s="20"/>
      <c r="B34" s="20"/>
      <c r="C34" s="28"/>
      <c r="D34" s="20"/>
      <c r="E34" s="20"/>
      <c r="F34" s="20"/>
      <c r="G34" s="20"/>
      <c r="H34" s="28"/>
      <c r="I34" s="20"/>
    </row>
    <row r="35" spans="1:9">
      <c r="A35" s="16" t="s">
        <v>30</v>
      </c>
      <c r="F35" s="16" t="s">
        <v>30</v>
      </c>
    </row>
    <row r="36" spans="1:9">
      <c r="A36">
        <v>18</v>
      </c>
      <c r="B36" t="s">
        <v>12</v>
      </c>
      <c r="C36" s="11">
        <v>7500</v>
      </c>
      <c r="F36">
        <v>14</v>
      </c>
      <c r="G36" t="s">
        <v>12</v>
      </c>
      <c r="H36" s="11">
        <v>10000</v>
      </c>
    </row>
    <row r="37" spans="1:9">
      <c r="A37">
        <v>19</v>
      </c>
      <c r="B37" t="s">
        <v>13</v>
      </c>
      <c r="C37" s="22">
        <f>C9*1000000*(1+C15)/C36</f>
        <v>2500</v>
      </c>
      <c r="F37">
        <v>15</v>
      </c>
      <c r="G37" t="s">
        <v>13</v>
      </c>
      <c r="H37" s="22">
        <f>H9*1000000*(1+H15)/H36</f>
        <v>3125</v>
      </c>
    </row>
    <row r="38" spans="1:9">
      <c r="A38">
        <v>20</v>
      </c>
      <c r="B38" t="s">
        <v>19</v>
      </c>
      <c r="C38" s="23">
        <v>50</v>
      </c>
      <c r="F38">
        <v>16</v>
      </c>
      <c r="G38" t="s">
        <v>19</v>
      </c>
      <c r="H38" s="23">
        <v>50</v>
      </c>
    </row>
    <row r="39" spans="1:9">
      <c r="A39">
        <v>21</v>
      </c>
      <c r="B39" t="s">
        <v>18</v>
      </c>
      <c r="C39" s="23">
        <f>C37*C38</f>
        <v>125000</v>
      </c>
      <c r="F39">
        <v>17</v>
      </c>
      <c r="G39" t="s">
        <v>18</v>
      </c>
      <c r="H39" s="23">
        <f>H37*H38</f>
        <v>156250</v>
      </c>
    </row>
    <row r="40" spans="1:9">
      <c r="A40" s="16" t="s">
        <v>31</v>
      </c>
      <c r="C40" s="11"/>
      <c r="F40" s="16" t="s">
        <v>25</v>
      </c>
      <c r="H40" s="11"/>
    </row>
    <row r="41" spans="1:9">
      <c r="A41">
        <v>22</v>
      </c>
      <c r="B41" t="s">
        <v>26</v>
      </c>
      <c r="C41" s="11">
        <f>C25</f>
        <v>459000</v>
      </c>
      <c r="F41">
        <v>21</v>
      </c>
      <c r="G41" t="s">
        <v>26</v>
      </c>
      <c r="H41" s="11">
        <f>H25</f>
        <v>765000</v>
      </c>
    </row>
    <row r="42" spans="1:9">
      <c r="A42">
        <v>23</v>
      </c>
      <c r="B42" t="s">
        <v>27</v>
      </c>
      <c r="C42" s="3">
        <f>-C39</f>
        <v>-125000</v>
      </c>
      <c r="F42">
        <v>22</v>
      </c>
      <c r="G42" t="s">
        <v>27</v>
      </c>
      <c r="H42" s="3">
        <f>-H39</f>
        <v>-156250</v>
      </c>
    </row>
    <row r="43" spans="1:9">
      <c r="A43">
        <v>24</v>
      </c>
      <c r="B43" t="s">
        <v>28</v>
      </c>
      <c r="C43" s="11">
        <f>C41+C42</f>
        <v>334000</v>
      </c>
      <c r="F43">
        <v>23</v>
      </c>
      <c r="G43" t="s">
        <v>28</v>
      </c>
      <c r="H43" s="11">
        <f>H41+H42</f>
        <v>608750</v>
      </c>
    </row>
    <row r="44" spans="1:9">
      <c r="A44">
        <v>26</v>
      </c>
      <c r="B44" s="17" t="s">
        <v>33</v>
      </c>
      <c r="C44" s="18">
        <f>(C43-C24)/C24</f>
        <v>1.3194444444444444</v>
      </c>
      <c r="F44">
        <v>24</v>
      </c>
      <c r="G44" s="17" t="s">
        <v>33</v>
      </c>
      <c r="H44" s="18">
        <f>(H43-H24)/H24</f>
        <v>1.5364583333333333</v>
      </c>
    </row>
    <row r="45" spans="1:9">
      <c r="A45" s="16" t="s">
        <v>34</v>
      </c>
      <c r="F45" s="16" t="s">
        <v>34</v>
      </c>
    </row>
    <row r="46" spans="1:9">
      <c r="A46">
        <v>27</v>
      </c>
      <c r="B46" t="s">
        <v>14</v>
      </c>
      <c r="C46" s="15">
        <v>20</v>
      </c>
      <c r="F46">
        <v>18</v>
      </c>
      <c r="G46" t="s">
        <v>14</v>
      </c>
      <c r="H46" s="15">
        <v>20</v>
      </c>
    </row>
    <row r="47" spans="1:9">
      <c r="A47">
        <v>28</v>
      </c>
      <c r="B47" t="s">
        <v>15</v>
      </c>
      <c r="C47" s="11">
        <f>C37*C46</f>
        <v>50000</v>
      </c>
      <c r="F47">
        <v>19</v>
      </c>
      <c r="G47" t="s">
        <v>15</v>
      </c>
      <c r="H47" s="11">
        <f>H37*H46</f>
        <v>62500</v>
      </c>
    </row>
    <row r="49" spans="2:8" ht="15.75" thickBot="1">
      <c r="B49" s="38" t="s">
        <v>38</v>
      </c>
      <c r="C49" s="33"/>
      <c r="G49" s="38" t="s">
        <v>38</v>
      </c>
      <c r="H49" s="33"/>
    </row>
    <row r="50" spans="2:8" ht="15.75" thickTop="1">
      <c r="B50" t="s">
        <v>39</v>
      </c>
      <c r="C50" s="2">
        <f>C23</f>
        <v>0.08</v>
      </c>
      <c r="G50" t="s">
        <v>39</v>
      </c>
      <c r="H50" s="2">
        <f>H23</f>
        <v>0.08</v>
      </c>
    </row>
    <row r="51" spans="2:8">
      <c r="B51" t="s">
        <v>40</v>
      </c>
      <c r="C51" s="2">
        <f>1-C19</f>
        <v>0.7</v>
      </c>
      <c r="G51" t="s">
        <v>40</v>
      </c>
      <c r="H51" s="2">
        <f>1-H19</f>
        <v>0.7</v>
      </c>
    </row>
    <row r="52" spans="2:8">
      <c r="B52" s="12" t="s">
        <v>41</v>
      </c>
      <c r="C52" s="34">
        <f>C43/(C9*1000000+C16)/C17</f>
        <v>0.14844444444444446</v>
      </c>
      <c r="G52" s="12" t="s">
        <v>41</v>
      </c>
      <c r="H52" s="34">
        <f>H43/(H9*1000000+H16)/H17</f>
        <v>0.16233333333333336</v>
      </c>
    </row>
    <row r="53" spans="2:8" ht="15.75" thickBot="1">
      <c r="B53" s="36" t="s">
        <v>43</v>
      </c>
      <c r="C53" s="37">
        <f>(C52-C50)/C50</f>
        <v>0.85555555555555574</v>
      </c>
      <c r="G53" s="36" t="s">
        <v>43</v>
      </c>
      <c r="H53" s="37">
        <f>(H52-H50)/H50</f>
        <v>1.029166666666667</v>
      </c>
    </row>
    <row r="54" spans="2:8" ht="15.75" thickTop="1"/>
  </sheetData>
  <printOptions horizontalCentered="1" gridLines="1"/>
  <pageMargins left="0.45" right="0.45" top="0.75" bottom="0.75" header="0.3" footer="0.3"/>
  <pageSetup orientation="landscape" horizontalDpi="1200" verticalDpi="1200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opLeftCell="A22" workbookViewId="0">
      <selection activeCell="A26" sqref="A26:XFD26"/>
    </sheetView>
  </sheetViews>
  <sheetFormatPr defaultRowHeight="15"/>
  <cols>
    <col min="1" max="1" width="5" customWidth="1"/>
    <col min="2" max="2" width="34.85546875" customWidth="1"/>
    <col min="3" max="3" width="13.7109375" customWidth="1"/>
    <col min="5" max="5" width="4.140625" customWidth="1"/>
    <col min="6" max="6" width="5.140625" customWidth="1"/>
    <col min="7" max="7" width="34.28515625" customWidth="1"/>
    <col min="8" max="8" width="13.140625" customWidth="1"/>
  </cols>
  <sheetData>
    <row r="1" spans="1:9" ht="37.5" customHeight="1"/>
    <row r="2" spans="1:9" ht="14.25" customHeight="1"/>
    <row r="3" spans="1:9">
      <c r="A3" s="5" t="s">
        <v>17</v>
      </c>
      <c r="B3" s="4"/>
      <c r="C3" s="4"/>
      <c r="D3" s="4"/>
      <c r="E3" s="4"/>
      <c r="F3" s="4"/>
      <c r="G3" s="4"/>
      <c r="H3" s="4"/>
    </row>
    <row r="4" spans="1:9" ht="24" customHeight="1">
      <c r="A4" s="19" t="s">
        <v>44</v>
      </c>
      <c r="B4" s="4"/>
      <c r="C4" s="4"/>
      <c r="D4" s="4"/>
      <c r="E4" s="4"/>
      <c r="F4" s="4"/>
      <c r="G4" s="4"/>
      <c r="H4" s="4"/>
    </row>
    <row r="5" spans="1:9" ht="24" customHeight="1">
      <c r="A5" s="19"/>
      <c r="B5" s="4"/>
      <c r="C5" s="4"/>
      <c r="D5" s="4"/>
      <c r="E5" s="4"/>
      <c r="F5" s="4"/>
      <c r="G5" s="4"/>
      <c r="H5" s="4"/>
    </row>
    <row r="6" spans="1:9" ht="19.5" thickBot="1">
      <c r="A6" s="31" t="s">
        <v>45</v>
      </c>
      <c r="B6" s="31"/>
      <c r="C6" s="32"/>
      <c r="D6" s="31"/>
      <c r="E6" s="31"/>
      <c r="F6" s="31"/>
      <c r="G6" s="31"/>
      <c r="H6" s="32"/>
    </row>
    <row r="7" spans="1:9" ht="15.75" thickTop="1">
      <c r="A7" s="12"/>
      <c r="B7" s="7" t="s">
        <v>46</v>
      </c>
      <c r="C7" s="12"/>
      <c r="D7" s="20"/>
      <c r="E7" s="20"/>
      <c r="F7" s="12"/>
      <c r="G7" s="7" t="s">
        <v>47</v>
      </c>
      <c r="H7" s="12"/>
      <c r="I7" s="20"/>
    </row>
    <row r="8" spans="1:9">
      <c r="A8">
        <v>1</v>
      </c>
      <c r="B8" t="s">
        <v>35</v>
      </c>
      <c r="C8" s="1">
        <v>30</v>
      </c>
      <c r="D8" s="20"/>
      <c r="E8" s="20"/>
      <c r="F8">
        <v>1</v>
      </c>
      <c r="G8" t="s">
        <v>35</v>
      </c>
      <c r="H8" s="1">
        <v>50</v>
      </c>
      <c r="I8" s="20"/>
    </row>
    <row r="9" spans="1:9">
      <c r="A9">
        <v>2</v>
      </c>
      <c r="B9" t="s">
        <v>0</v>
      </c>
      <c r="C9">
        <v>7</v>
      </c>
      <c r="D9" s="20"/>
      <c r="E9" s="20"/>
      <c r="F9">
        <v>2</v>
      </c>
      <c r="G9" t="s">
        <v>0</v>
      </c>
      <c r="H9">
        <v>10</v>
      </c>
      <c r="I9" s="20"/>
    </row>
    <row r="10" spans="1:9">
      <c r="A10">
        <v>3</v>
      </c>
      <c r="B10" t="s">
        <v>1</v>
      </c>
      <c r="C10">
        <v>6</v>
      </c>
      <c r="D10" s="20"/>
      <c r="E10" s="20"/>
      <c r="F10">
        <v>3</v>
      </c>
      <c r="G10" t="s">
        <v>1</v>
      </c>
      <c r="H10">
        <v>7</v>
      </c>
      <c r="I10" s="20"/>
    </row>
    <row r="11" spans="1:9">
      <c r="A11" s="12">
        <v>4</v>
      </c>
      <c r="B11" s="12" t="s">
        <v>2</v>
      </c>
      <c r="C11" s="12">
        <v>2</v>
      </c>
      <c r="D11" s="20"/>
      <c r="E11" s="20"/>
      <c r="F11" s="12">
        <v>4</v>
      </c>
      <c r="G11" s="12" t="s">
        <v>2</v>
      </c>
      <c r="H11" s="12">
        <v>3</v>
      </c>
      <c r="I11" s="20"/>
    </row>
    <row r="12" spans="1:9">
      <c r="A12">
        <v>5</v>
      </c>
      <c r="B12" t="s">
        <v>3</v>
      </c>
      <c r="C12" s="41" t="s">
        <v>50</v>
      </c>
      <c r="F12">
        <v>5</v>
      </c>
      <c r="G12" t="s">
        <v>3</v>
      </c>
      <c r="H12" s="41" t="s">
        <v>50</v>
      </c>
    </row>
    <row r="13" spans="1:9">
      <c r="A13">
        <v>6</v>
      </c>
      <c r="B13" t="s">
        <v>4</v>
      </c>
      <c r="C13" s="2">
        <v>0.25</v>
      </c>
      <c r="F13">
        <v>6</v>
      </c>
      <c r="G13" t="s">
        <v>4</v>
      </c>
      <c r="H13" s="2">
        <v>0.25</v>
      </c>
    </row>
    <row r="14" spans="1:9">
      <c r="A14">
        <v>7</v>
      </c>
      <c r="B14" t="s">
        <v>5</v>
      </c>
      <c r="C14" s="8">
        <v>0.15</v>
      </c>
      <c r="F14">
        <v>7</v>
      </c>
      <c r="G14" t="s">
        <v>5</v>
      </c>
      <c r="H14" s="8">
        <v>0.15</v>
      </c>
    </row>
    <row r="15" spans="1:9">
      <c r="A15">
        <v>8</v>
      </c>
      <c r="B15" t="s">
        <v>6</v>
      </c>
      <c r="C15" s="3">
        <f>C8*C14*1000000</f>
        <v>4500000</v>
      </c>
      <c r="F15">
        <v>8</v>
      </c>
      <c r="G15" t="s">
        <v>6</v>
      </c>
      <c r="H15" s="3">
        <f>H8*H14*1000000</f>
        <v>7500000</v>
      </c>
    </row>
    <row r="16" spans="1:9">
      <c r="A16">
        <v>9</v>
      </c>
      <c r="B16" t="s">
        <v>10</v>
      </c>
      <c r="C16" s="2">
        <v>0.12</v>
      </c>
      <c r="F16">
        <v>9</v>
      </c>
      <c r="G16" t="s">
        <v>10</v>
      </c>
      <c r="H16" s="2">
        <v>0.12</v>
      </c>
    </row>
    <row r="17" spans="1:9">
      <c r="A17">
        <v>10</v>
      </c>
      <c r="B17" t="s">
        <v>11</v>
      </c>
      <c r="C17" s="11">
        <f>C15*C16</f>
        <v>540000</v>
      </c>
      <c r="F17">
        <v>10</v>
      </c>
      <c r="G17" t="s">
        <v>11</v>
      </c>
      <c r="H17" s="11">
        <f>H15*H16</f>
        <v>900000</v>
      </c>
    </row>
    <row r="18" spans="1:9">
      <c r="A18">
        <v>11</v>
      </c>
      <c r="B18" t="s">
        <v>21</v>
      </c>
      <c r="C18" s="2">
        <v>0.32</v>
      </c>
      <c r="F18">
        <v>11</v>
      </c>
      <c r="G18" t="s">
        <v>21</v>
      </c>
      <c r="H18" s="2">
        <v>0.32</v>
      </c>
    </row>
    <row r="19" spans="1:9">
      <c r="A19">
        <v>12</v>
      </c>
      <c r="B19" t="s">
        <v>22</v>
      </c>
      <c r="C19" s="3">
        <f>C17*C18</f>
        <v>172800</v>
      </c>
      <c r="F19">
        <v>12</v>
      </c>
      <c r="G19" t="s">
        <v>22</v>
      </c>
      <c r="H19" s="3">
        <f>H17*H18</f>
        <v>288000</v>
      </c>
    </row>
    <row r="20" spans="1:9" ht="24.75" customHeight="1" thickBot="1">
      <c r="A20" s="9">
        <v>13</v>
      </c>
      <c r="B20" s="9" t="s">
        <v>7</v>
      </c>
      <c r="C20" s="10">
        <f>C17-C19</f>
        <v>367200</v>
      </c>
      <c r="D20" s="6"/>
      <c r="E20" s="6"/>
      <c r="F20" s="9">
        <v>13</v>
      </c>
      <c r="G20" s="9" t="s">
        <v>7</v>
      </c>
      <c r="H20" s="10">
        <f>H17-H19</f>
        <v>612000</v>
      </c>
    </row>
    <row r="21" spans="1:9" ht="15.75" thickTop="1">
      <c r="A21" s="16" t="s">
        <v>24</v>
      </c>
      <c r="F21" s="16" t="s">
        <v>24</v>
      </c>
    </row>
    <row r="22" spans="1:9">
      <c r="A22" s="35">
        <v>14</v>
      </c>
      <c r="B22" t="s">
        <v>39</v>
      </c>
      <c r="C22" s="2">
        <v>0.09</v>
      </c>
      <c r="F22" s="35">
        <v>14</v>
      </c>
      <c r="G22" t="s">
        <v>39</v>
      </c>
      <c r="H22" s="2">
        <v>0.09</v>
      </c>
    </row>
    <row r="23" spans="1:9">
      <c r="A23">
        <v>15</v>
      </c>
      <c r="B23" t="s">
        <v>42</v>
      </c>
      <c r="C23" s="3">
        <f>C8*1000000*C16*C22</f>
        <v>324000</v>
      </c>
      <c r="F23">
        <v>15</v>
      </c>
      <c r="G23" t="s">
        <v>42</v>
      </c>
      <c r="H23" s="3">
        <f>H8*1000000*H16*H22</f>
        <v>540000</v>
      </c>
    </row>
    <row r="24" spans="1:9">
      <c r="A24">
        <v>16</v>
      </c>
      <c r="B24" t="s">
        <v>16</v>
      </c>
      <c r="C24" s="3">
        <f>C23+C20</f>
        <v>691200</v>
      </c>
      <c r="F24">
        <v>16</v>
      </c>
      <c r="G24" t="s">
        <v>16</v>
      </c>
      <c r="H24" s="3">
        <f>H23+H20</f>
        <v>1152000</v>
      </c>
    </row>
    <row r="25" spans="1:9">
      <c r="A25" s="17">
        <v>17</v>
      </c>
      <c r="B25" s="17" t="s">
        <v>24</v>
      </c>
      <c r="C25" s="18">
        <f>(C24-C23)/C23</f>
        <v>1.1333333333333333</v>
      </c>
      <c r="F25" s="17">
        <v>17</v>
      </c>
      <c r="G25" s="17" t="s">
        <v>24</v>
      </c>
      <c r="H25" s="18">
        <f>(H24-H23)/H23</f>
        <v>1.1333333333333333</v>
      </c>
    </row>
    <row r="26" spans="1:9" s="21" customFormat="1" ht="19.5" thickBot="1">
      <c r="A26" s="31" t="s">
        <v>37</v>
      </c>
      <c r="B26" s="31"/>
      <c r="C26" s="32"/>
      <c r="D26" s="31"/>
      <c r="E26" s="31"/>
      <c r="F26" s="31"/>
      <c r="G26" s="31"/>
      <c r="H26" s="32"/>
    </row>
    <row r="27" spans="1:9" s="21" customFormat="1" ht="19.5" thickTop="1">
      <c r="A27" s="29"/>
      <c r="B27" s="29"/>
      <c r="C27" s="30"/>
      <c r="D27" s="29"/>
      <c r="E27" s="29"/>
      <c r="F27" s="29"/>
      <c r="G27" s="29"/>
      <c r="H27" s="30"/>
    </row>
    <row r="28" spans="1:9">
      <c r="A28" s="12"/>
      <c r="B28" s="7" t="s">
        <v>36</v>
      </c>
      <c r="C28" s="12"/>
      <c r="D28" s="20"/>
      <c r="E28" s="20"/>
      <c r="F28" s="12"/>
      <c r="G28" s="7" t="s">
        <v>36</v>
      </c>
      <c r="H28" s="12"/>
      <c r="I28" s="20"/>
    </row>
    <row r="29" spans="1:9">
      <c r="A29">
        <v>1</v>
      </c>
      <c r="B29" t="s">
        <v>35</v>
      </c>
      <c r="C29" s="1">
        <v>30</v>
      </c>
      <c r="D29" s="20"/>
      <c r="E29" s="20"/>
      <c r="F29">
        <v>1</v>
      </c>
      <c r="G29" t="s">
        <v>35</v>
      </c>
      <c r="H29" s="1">
        <v>50</v>
      </c>
      <c r="I29" s="20"/>
    </row>
    <row r="30" spans="1:9" s="21" customFormat="1">
      <c r="C30" s="25"/>
      <c r="H30" s="25"/>
    </row>
    <row r="31" spans="1:9">
      <c r="A31" s="16" t="s">
        <v>30</v>
      </c>
      <c r="F31" s="16" t="s">
        <v>30</v>
      </c>
    </row>
    <row r="32" spans="1:9">
      <c r="A32">
        <v>17</v>
      </c>
      <c r="B32" t="s">
        <v>12</v>
      </c>
      <c r="C32" s="11">
        <v>13000</v>
      </c>
      <c r="F32">
        <v>17</v>
      </c>
      <c r="G32" t="s">
        <v>12</v>
      </c>
      <c r="H32" s="11">
        <v>15000</v>
      </c>
    </row>
    <row r="33" spans="1:8">
      <c r="A33">
        <v>18</v>
      </c>
      <c r="B33" t="s">
        <v>13</v>
      </c>
      <c r="C33" s="14">
        <f>C8*1000000*(1+C14)/C32</f>
        <v>2653.8461538461538</v>
      </c>
      <c r="F33">
        <v>18</v>
      </c>
      <c r="G33" t="s">
        <v>13</v>
      </c>
      <c r="H33" s="13">
        <f>H8*1000000*(1+H14)/H32</f>
        <v>3833.333333333333</v>
      </c>
    </row>
    <row r="34" spans="1:8">
      <c r="A34">
        <v>19</v>
      </c>
      <c r="B34" t="s">
        <v>19</v>
      </c>
      <c r="C34" s="11">
        <v>65</v>
      </c>
      <c r="F34">
        <v>19</v>
      </c>
      <c r="G34" t="s">
        <v>19</v>
      </c>
      <c r="H34" s="11">
        <v>65</v>
      </c>
    </row>
    <row r="35" spans="1:8">
      <c r="A35">
        <v>20</v>
      </c>
      <c r="B35" t="s">
        <v>18</v>
      </c>
      <c r="C35" s="11">
        <f>C33*C34</f>
        <v>172500</v>
      </c>
      <c r="F35">
        <v>20</v>
      </c>
      <c r="G35" t="s">
        <v>18</v>
      </c>
      <c r="H35" s="11">
        <f>H33*H34</f>
        <v>249166.66666666666</v>
      </c>
    </row>
    <row r="36" spans="1:8">
      <c r="A36" s="16" t="s">
        <v>31</v>
      </c>
      <c r="C36" s="11"/>
      <c r="F36" s="16" t="s">
        <v>31</v>
      </c>
      <c r="H36" s="11"/>
    </row>
    <row r="37" spans="1:8">
      <c r="A37">
        <v>21</v>
      </c>
      <c r="B37" t="s">
        <v>26</v>
      </c>
      <c r="C37" s="11">
        <f>C24</f>
        <v>691200</v>
      </c>
      <c r="F37">
        <v>21</v>
      </c>
      <c r="G37" t="s">
        <v>26</v>
      </c>
      <c r="H37" s="11">
        <f>H24</f>
        <v>1152000</v>
      </c>
    </row>
    <row r="38" spans="1:8">
      <c r="A38">
        <v>22</v>
      </c>
      <c r="B38" t="s">
        <v>27</v>
      </c>
      <c r="C38" s="3">
        <f>-C35</f>
        <v>-172500</v>
      </c>
      <c r="F38">
        <v>22</v>
      </c>
      <c r="G38" t="s">
        <v>27</v>
      </c>
      <c r="H38" s="3">
        <f>-H35</f>
        <v>-249166.66666666666</v>
      </c>
    </row>
    <row r="39" spans="1:8">
      <c r="A39">
        <v>23</v>
      </c>
      <c r="B39" t="s">
        <v>28</v>
      </c>
      <c r="C39" s="11">
        <f>C37+C38</f>
        <v>518700</v>
      </c>
      <c r="F39">
        <v>23</v>
      </c>
      <c r="G39" t="s">
        <v>28</v>
      </c>
      <c r="H39" s="11">
        <f>H37+H38</f>
        <v>902833.33333333337</v>
      </c>
    </row>
    <row r="40" spans="1:8">
      <c r="A40">
        <v>24</v>
      </c>
      <c r="B40" s="21" t="s">
        <v>32</v>
      </c>
      <c r="C40" s="3">
        <f>C39-C23</f>
        <v>194700</v>
      </c>
      <c r="F40">
        <v>24</v>
      </c>
      <c r="G40" s="21" t="s">
        <v>32</v>
      </c>
      <c r="H40" s="3">
        <f>H39-H23</f>
        <v>362833.33333333337</v>
      </c>
    </row>
    <row r="41" spans="1:8">
      <c r="A41">
        <v>25</v>
      </c>
      <c r="B41" s="17" t="s">
        <v>33</v>
      </c>
      <c r="C41" s="18">
        <f>C40/C23</f>
        <v>0.60092592592592597</v>
      </c>
      <c r="F41">
        <v>25</v>
      </c>
      <c r="G41" s="17" t="s">
        <v>29</v>
      </c>
      <c r="H41" s="18">
        <f>(H39-H23)/H23</f>
        <v>0.67191358024691361</v>
      </c>
    </row>
    <row r="42" spans="1:8">
      <c r="A42" s="16" t="s">
        <v>23</v>
      </c>
      <c r="F42" s="16" t="s">
        <v>23</v>
      </c>
    </row>
    <row r="43" spans="1:8">
      <c r="A43">
        <v>26</v>
      </c>
      <c r="B43" t="s">
        <v>14</v>
      </c>
      <c r="C43" s="15">
        <v>20</v>
      </c>
      <c r="F43">
        <v>26</v>
      </c>
      <c r="G43" t="s">
        <v>14</v>
      </c>
      <c r="H43" s="15">
        <v>20</v>
      </c>
    </row>
    <row r="44" spans="1:8">
      <c r="A44">
        <v>27</v>
      </c>
      <c r="B44" t="s">
        <v>15</v>
      </c>
      <c r="C44" s="11">
        <f>C33*C43</f>
        <v>53076.923076923078</v>
      </c>
      <c r="F44">
        <v>27</v>
      </c>
      <c r="G44" t="s">
        <v>15</v>
      </c>
      <c r="H44" s="11">
        <f>H33*H43</f>
        <v>76666.666666666657</v>
      </c>
    </row>
    <row r="46" spans="1:8" ht="15.75" thickBot="1">
      <c r="B46" s="38" t="s">
        <v>38</v>
      </c>
      <c r="C46" s="33"/>
      <c r="G46" s="38" t="s">
        <v>38</v>
      </c>
      <c r="H46" s="33"/>
    </row>
    <row r="47" spans="1:8" ht="15.75" thickTop="1">
      <c r="B47" t="s">
        <v>39</v>
      </c>
      <c r="C47" s="2">
        <f>C22</f>
        <v>0.09</v>
      </c>
      <c r="G47" t="s">
        <v>39</v>
      </c>
      <c r="H47" s="2">
        <f>H22</f>
        <v>0.09</v>
      </c>
    </row>
    <row r="48" spans="1:8">
      <c r="B48" t="s">
        <v>40</v>
      </c>
      <c r="C48" s="2">
        <f>1-C18</f>
        <v>0.67999999999999994</v>
      </c>
      <c r="G48" t="s">
        <v>40</v>
      </c>
      <c r="H48" s="2">
        <f>1-H18</f>
        <v>0.67999999999999994</v>
      </c>
    </row>
    <row r="49" spans="2:8">
      <c r="B49" s="12" t="s">
        <v>41</v>
      </c>
      <c r="C49" s="34">
        <f>C39/(C8*1000000+C15)/C16</f>
        <v>0.12528985507246379</v>
      </c>
      <c r="G49" s="12" t="s">
        <v>41</v>
      </c>
      <c r="H49" s="34">
        <f>H39/(H8*1000000+H15)/H16</f>
        <v>0.13084541062801933</v>
      </c>
    </row>
    <row r="50" spans="2:8" ht="15.75" thickBot="1">
      <c r="B50" s="36" t="s">
        <v>43</v>
      </c>
      <c r="C50" s="37">
        <f>(C49-C47)/C47</f>
        <v>0.39210950080515328</v>
      </c>
      <c r="G50" s="36" t="s">
        <v>43</v>
      </c>
      <c r="H50" s="37">
        <f>(H49-H47)/H47</f>
        <v>0.45383789586688145</v>
      </c>
    </row>
    <row r="51" spans="2:8" ht="15.75" thickTop="1"/>
  </sheetData>
  <pageMargins left="0.45" right="0.45" top="0.5" bottom="0.75" header="0.3" footer="0.3"/>
  <pageSetup orientation="landscape" horizontalDpi="1200" verticalDpi="1200" r:id="rId1"/>
  <rowBreaks count="1" manualBreakCount="1">
    <brk id="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6"/>
  <sheetViews>
    <sheetView topLeftCell="A40" workbookViewId="0">
      <selection activeCell="E32" sqref="E32"/>
    </sheetView>
  </sheetViews>
  <sheetFormatPr defaultRowHeight="15"/>
  <cols>
    <col min="1" max="1" width="5.5703125" customWidth="1"/>
    <col min="2" max="2" width="55.28515625" customWidth="1"/>
    <col min="3" max="3" width="24.7109375" customWidth="1"/>
  </cols>
  <sheetData>
    <row r="2" spans="1:3" ht="30" customHeight="1"/>
    <row r="3" spans="1:3">
      <c r="A3" s="5" t="s">
        <v>108</v>
      </c>
      <c r="B3" s="4"/>
      <c r="C3" s="4"/>
    </row>
    <row r="4" spans="1:3" ht="18.75">
      <c r="A4" s="19" t="s">
        <v>109</v>
      </c>
      <c r="B4" s="4"/>
      <c r="C4" s="4"/>
    </row>
    <row r="5" spans="1:3" ht="18.75">
      <c r="A5" s="80" t="s">
        <v>119</v>
      </c>
      <c r="B5" s="5"/>
      <c r="C5" s="5"/>
    </row>
    <row r="6" spans="1:3">
      <c r="A6" s="5"/>
      <c r="B6" s="5"/>
      <c r="C6" s="5"/>
    </row>
    <row r="7" spans="1:3" ht="19.5" thickBot="1">
      <c r="A7" s="83" t="s">
        <v>111</v>
      </c>
      <c r="B7" s="31"/>
      <c r="C7" s="32"/>
    </row>
    <row r="8" spans="1:3" ht="19.5" thickTop="1">
      <c r="A8" s="86" t="s">
        <v>100</v>
      </c>
      <c r="B8" s="85"/>
      <c r="C8" s="85"/>
    </row>
    <row r="9" spans="1:3" ht="15.75">
      <c r="A9" s="62">
        <v>1</v>
      </c>
      <c r="B9" s="62" t="s">
        <v>35</v>
      </c>
      <c r="C9" s="71">
        <v>3</v>
      </c>
    </row>
    <row r="10" spans="1:3" ht="15.75">
      <c r="A10" s="62">
        <v>2</v>
      </c>
      <c r="B10" s="62" t="s">
        <v>3</v>
      </c>
      <c r="C10" s="68" t="s">
        <v>50</v>
      </c>
    </row>
    <row r="11" spans="1:3" ht="15.75">
      <c r="A11" s="62">
        <v>3</v>
      </c>
      <c r="B11" s="62" t="s">
        <v>85</v>
      </c>
      <c r="C11" s="69">
        <v>0.25</v>
      </c>
    </row>
    <row r="12" spans="1:3" ht="15.75">
      <c r="A12" s="62">
        <v>4</v>
      </c>
      <c r="B12" s="62" t="s">
        <v>90</v>
      </c>
      <c r="C12" s="70">
        <v>0.7</v>
      </c>
    </row>
    <row r="13" spans="1:3" ht="15.75">
      <c r="A13" s="62">
        <v>5</v>
      </c>
      <c r="B13" s="62" t="s">
        <v>91</v>
      </c>
      <c r="C13" s="70">
        <v>0.1</v>
      </c>
    </row>
    <row r="14" spans="1:3" ht="15.75">
      <c r="A14" s="62">
        <v>6</v>
      </c>
      <c r="B14" s="62" t="s">
        <v>92</v>
      </c>
      <c r="C14" s="71">
        <f>C9*C11*1000000</f>
        <v>750000</v>
      </c>
    </row>
    <row r="15" spans="1:3" ht="15.75">
      <c r="A15" s="62">
        <v>7</v>
      </c>
      <c r="B15" s="62" t="s">
        <v>10</v>
      </c>
      <c r="C15" s="70">
        <v>0.12</v>
      </c>
    </row>
    <row r="16" spans="1:3" ht="15.75">
      <c r="A16" s="62">
        <v>8</v>
      </c>
      <c r="B16" s="62" t="s">
        <v>86</v>
      </c>
      <c r="C16" s="72">
        <f>C14*C15</f>
        <v>90000</v>
      </c>
    </row>
    <row r="17" spans="1:3" ht="15.75">
      <c r="A17" s="62">
        <v>9</v>
      </c>
      <c r="B17" s="62" t="s">
        <v>87</v>
      </c>
      <c r="C17" s="70">
        <v>0.3</v>
      </c>
    </row>
    <row r="18" spans="1:3" ht="15.75">
      <c r="A18" s="62">
        <v>10</v>
      </c>
      <c r="B18" s="62" t="s">
        <v>88</v>
      </c>
      <c r="C18" s="73">
        <v>0</v>
      </c>
    </row>
    <row r="19" spans="1:3" ht="15.75">
      <c r="A19" s="62">
        <v>11</v>
      </c>
      <c r="B19" s="62" t="s">
        <v>89</v>
      </c>
      <c r="C19" s="70">
        <f>1-C17</f>
        <v>0.7</v>
      </c>
    </row>
    <row r="20" spans="1:3" ht="19.5" thickBot="1">
      <c r="A20" s="65">
        <v>12</v>
      </c>
      <c r="B20" s="65" t="s">
        <v>100</v>
      </c>
      <c r="C20" s="66">
        <f>C16*C19</f>
        <v>62999.999999999993</v>
      </c>
    </row>
    <row r="21" spans="1:3" ht="15.75" thickTop="1"/>
    <row r="22" spans="1:3" ht="18.75">
      <c r="A22" s="86" t="s">
        <v>93</v>
      </c>
      <c r="B22" s="85"/>
      <c r="C22" s="85"/>
    </row>
    <row r="23" spans="1:3" ht="15.75">
      <c r="A23" s="62">
        <v>13</v>
      </c>
      <c r="B23" s="62" t="s">
        <v>94</v>
      </c>
      <c r="C23" s="67">
        <f>C9*1000000*C15</f>
        <v>360000</v>
      </c>
    </row>
    <row r="24" spans="1:3" ht="15.75">
      <c r="A24" s="62">
        <v>14</v>
      </c>
      <c r="B24" s="62" t="s">
        <v>39</v>
      </c>
      <c r="C24" s="70">
        <v>0.08</v>
      </c>
    </row>
    <row r="25" spans="1:3" ht="15.75">
      <c r="A25" s="62">
        <v>15</v>
      </c>
      <c r="B25" s="62" t="s">
        <v>95</v>
      </c>
      <c r="C25" s="71">
        <f>C9*1000000*C15*C24</f>
        <v>28800</v>
      </c>
    </row>
    <row r="26" spans="1:3" ht="15.75">
      <c r="A26" s="62">
        <v>16</v>
      </c>
      <c r="B26" s="62" t="s">
        <v>96</v>
      </c>
      <c r="C26" s="71">
        <f>C20</f>
        <v>62999.999999999993</v>
      </c>
    </row>
    <row r="27" spans="1:3" ht="15.75">
      <c r="A27" s="74">
        <v>17</v>
      </c>
      <c r="B27" s="62" t="s">
        <v>99</v>
      </c>
      <c r="C27" s="71">
        <f>C25+C20</f>
        <v>91800</v>
      </c>
    </row>
    <row r="28" spans="1:3" ht="19.5" thickBot="1">
      <c r="A28" s="63">
        <v>18</v>
      </c>
      <c r="B28" s="63" t="s">
        <v>97</v>
      </c>
      <c r="C28" s="64">
        <f>C26/C25</f>
        <v>2.1874999999999996</v>
      </c>
    </row>
    <row r="29" spans="1:3" ht="15.75" thickTop="1"/>
    <row r="30" spans="1:3" ht="18.75">
      <c r="A30" s="89" t="s">
        <v>111</v>
      </c>
      <c r="B30" s="88"/>
      <c r="C30" s="88"/>
    </row>
    <row r="31" spans="1:3" ht="15.75">
      <c r="A31" s="90" t="s">
        <v>131</v>
      </c>
      <c r="B31" s="88"/>
      <c r="C31" s="88"/>
    </row>
    <row r="33" spans="1:3">
      <c r="A33" s="92" t="s">
        <v>113</v>
      </c>
      <c r="B33" s="4"/>
      <c r="C33" s="4"/>
    </row>
    <row r="34" spans="1:3" ht="20.25" customHeight="1"/>
    <row r="35" spans="1:3" ht="19.5" customHeight="1"/>
    <row r="36" spans="1:3">
      <c r="A36" s="5" t="s">
        <v>108</v>
      </c>
      <c r="B36" s="4"/>
      <c r="C36" s="4"/>
    </row>
    <row r="37" spans="1:3" ht="18.75">
      <c r="A37" s="19" t="s">
        <v>109</v>
      </c>
      <c r="B37" s="4"/>
      <c r="C37" s="4"/>
    </row>
    <row r="38" spans="1:3" ht="18.75">
      <c r="A38" s="80" t="s">
        <v>119</v>
      </c>
      <c r="B38" s="5"/>
      <c r="C38" s="5"/>
    </row>
    <row r="39" spans="1:3">
      <c r="A39" s="5"/>
      <c r="B39" s="5"/>
      <c r="C39" s="5"/>
    </row>
    <row r="40" spans="1:3" ht="19.5" thickBot="1">
      <c r="A40" s="83" t="s">
        <v>110</v>
      </c>
      <c r="B40" s="84"/>
      <c r="C40" s="84"/>
    </row>
    <row r="41" spans="1:3" ht="19.5" thickTop="1">
      <c r="A41" s="86" t="s">
        <v>114</v>
      </c>
      <c r="B41" s="85"/>
      <c r="C41" s="85"/>
    </row>
    <row r="42" spans="1:3" ht="15.75">
      <c r="A42" s="75">
        <v>1</v>
      </c>
      <c r="B42" s="75" t="s">
        <v>35</v>
      </c>
      <c r="C42" s="93">
        <f>C9</f>
        <v>3</v>
      </c>
    </row>
    <row r="43" spans="1:3" ht="15.75">
      <c r="A43" s="62">
        <v>2</v>
      </c>
      <c r="B43" s="62" t="s">
        <v>12</v>
      </c>
      <c r="C43" s="72">
        <v>3500</v>
      </c>
    </row>
    <row r="44" spans="1:3" ht="15.75">
      <c r="A44" s="62">
        <v>3</v>
      </c>
      <c r="B44" s="62" t="s">
        <v>13</v>
      </c>
      <c r="C44" s="76">
        <f>C9*1000000*(1+C11)/C43</f>
        <v>1071.4285714285713</v>
      </c>
    </row>
    <row r="45" spans="1:3" ht="15.75">
      <c r="A45" s="62">
        <v>4</v>
      </c>
      <c r="B45" s="62" t="s">
        <v>98</v>
      </c>
      <c r="C45" s="82">
        <v>45</v>
      </c>
    </row>
    <row r="46" spans="1:3" ht="15.75">
      <c r="A46" s="62">
        <v>5</v>
      </c>
      <c r="B46" s="62" t="s">
        <v>18</v>
      </c>
      <c r="C46" s="77">
        <f>C44*C45</f>
        <v>48214.28571428571</v>
      </c>
    </row>
    <row r="47" spans="1:3" ht="18.75">
      <c r="A47" s="86" t="s">
        <v>102</v>
      </c>
      <c r="B47" s="85"/>
      <c r="C47" s="87"/>
    </row>
    <row r="48" spans="1:3" ht="15.75">
      <c r="A48" s="62">
        <v>6</v>
      </c>
      <c r="B48" s="62" t="s">
        <v>99</v>
      </c>
      <c r="C48" s="72">
        <f>C27</f>
        <v>91800</v>
      </c>
    </row>
    <row r="49" spans="1:3" ht="15.75">
      <c r="A49" s="62">
        <v>7</v>
      </c>
      <c r="B49" s="62" t="s">
        <v>27</v>
      </c>
      <c r="C49" s="71">
        <f>-C46</f>
        <v>-48214.28571428571</v>
      </c>
    </row>
    <row r="50" spans="1:3" ht="15.75">
      <c r="A50" s="62">
        <v>8</v>
      </c>
      <c r="B50" s="62" t="s">
        <v>28</v>
      </c>
      <c r="C50" s="72">
        <f>C48+C49</f>
        <v>43585.71428571429</v>
      </c>
    </row>
    <row r="51" spans="1:3" ht="15.75">
      <c r="A51" s="62">
        <v>9</v>
      </c>
      <c r="B51" s="62" t="s">
        <v>101</v>
      </c>
      <c r="C51" s="71">
        <f>C25</f>
        <v>28800</v>
      </c>
    </row>
    <row r="52" spans="1:3" ht="19.5" thickBot="1">
      <c r="A52" s="78">
        <v>10</v>
      </c>
      <c r="B52" s="78" t="s">
        <v>102</v>
      </c>
      <c r="C52" s="79">
        <f>C50-C51</f>
        <v>14785.71428571429</v>
      </c>
    </row>
    <row r="53" spans="1:3" ht="19.5" thickTop="1">
      <c r="A53" s="86" t="s">
        <v>115</v>
      </c>
      <c r="B53" s="85"/>
      <c r="C53" s="85"/>
    </row>
    <row r="54" spans="1:3" ht="15.75">
      <c r="A54" s="62">
        <v>11</v>
      </c>
      <c r="B54" s="62" t="s">
        <v>101</v>
      </c>
      <c r="C54" s="71">
        <f>C25</f>
        <v>28800</v>
      </c>
    </row>
    <row r="55" spans="1:3" ht="15.75">
      <c r="A55" s="62">
        <v>12</v>
      </c>
      <c r="B55" s="62" t="s">
        <v>118</v>
      </c>
      <c r="C55" s="72">
        <f>C52</f>
        <v>14785.71428571429</v>
      </c>
    </row>
    <row r="56" spans="1:3" ht="15.75">
      <c r="A56" s="62">
        <v>13</v>
      </c>
      <c r="B56" s="62" t="s">
        <v>105</v>
      </c>
      <c r="C56" s="71">
        <f>C54+C55</f>
        <v>43585.71428571429</v>
      </c>
    </row>
    <row r="57" spans="1:3" ht="19.5" thickBot="1">
      <c r="A57" s="63">
        <v>14</v>
      </c>
      <c r="B57" s="63" t="s">
        <v>106</v>
      </c>
      <c r="C57" s="64">
        <f>C55/C54</f>
        <v>0.51339285714285732</v>
      </c>
    </row>
    <row r="58" spans="1:3" ht="16.5" thickTop="1">
      <c r="A58" s="62">
        <v>15</v>
      </c>
      <c r="B58" s="62" t="s">
        <v>103</v>
      </c>
      <c r="C58" s="71">
        <f>C23+C16</f>
        <v>450000</v>
      </c>
    </row>
    <row r="59" spans="1:3" ht="15.75">
      <c r="A59" s="62">
        <v>16</v>
      </c>
      <c r="B59" s="62" t="s">
        <v>104</v>
      </c>
      <c r="C59" s="81">
        <f>C56/C58</f>
        <v>9.6857142857142864E-2</v>
      </c>
    </row>
    <row r="60" spans="1:3" ht="19.5" thickBot="1">
      <c r="A60" s="63">
        <v>17</v>
      </c>
      <c r="B60" s="63" t="s">
        <v>107</v>
      </c>
      <c r="C60" s="64">
        <f>(C59-C24)/C24</f>
        <v>0.21071428571428577</v>
      </c>
    </row>
    <row r="61" spans="1:3" ht="15.75" thickTop="1"/>
    <row r="62" spans="1:3" ht="18.75">
      <c r="A62" s="89" t="s">
        <v>111</v>
      </c>
      <c r="B62" s="88"/>
      <c r="C62" s="88"/>
    </row>
    <row r="63" spans="1:3" ht="15.75">
      <c r="A63" s="90" t="s">
        <v>135</v>
      </c>
      <c r="B63" s="91"/>
      <c r="C63" s="88"/>
    </row>
    <row r="64" spans="1:3" ht="15.75">
      <c r="A64" s="90" t="s">
        <v>134</v>
      </c>
      <c r="B64" s="90"/>
      <c r="C64" s="90"/>
    </row>
    <row r="66" spans="1:3">
      <c r="A66" s="92" t="s">
        <v>113</v>
      </c>
      <c r="B66" s="4"/>
      <c r="C66" s="4"/>
    </row>
  </sheetData>
  <printOptions horizontalCentered="1"/>
  <pageMargins left="0.45" right="0.7" top="0.5" bottom="0.5" header="0.3" footer="0.3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selection activeCell="B1" sqref="B1"/>
    </sheetView>
  </sheetViews>
  <sheetFormatPr defaultRowHeight="15"/>
  <cols>
    <col min="1" max="1" width="5.5703125" customWidth="1"/>
    <col min="2" max="2" width="51" customWidth="1"/>
    <col min="3" max="3" width="18.42578125" customWidth="1"/>
  </cols>
  <sheetData>
    <row r="1" spans="1:3" ht="21" customHeight="1"/>
    <row r="2" spans="1:3" ht="18.75" customHeight="1"/>
    <row r="3" spans="1:3">
      <c r="A3" s="5" t="s">
        <v>108</v>
      </c>
      <c r="B3" s="4"/>
      <c r="C3" s="4"/>
    </row>
    <row r="4" spans="1:3" ht="18.75">
      <c r="A4" s="19" t="s">
        <v>109</v>
      </c>
      <c r="B4" s="4"/>
      <c r="C4" s="4"/>
    </row>
    <row r="5" spans="1:3" ht="18.75">
      <c r="A5" s="80" t="s">
        <v>84</v>
      </c>
      <c r="B5" s="5"/>
      <c r="C5" s="5"/>
    </row>
    <row r="6" spans="1:3">
      <c r="A6" s="5"/>
      <c r="B6" s="5"/>
      <c r="C6" s="5"/>
    </row>
    <row r="7" spans="1:3" ht="19.5" thickBot="1">
      <c r="A7" s="83" t="s">
        <v>111</v>
      </c>
      <c r="B7" s="31"/>
      <c r="C7" s="32"/>
    </row>
    <row r="8" spans="1:3" ht="19.5" thickTop="1">
      <c r="A8" s="86" t="s">
        <v>100</v>
      </c>
      <c r="B8" s="85"/>
      <c r="C8" s="85"/>
    </row>
    <row r="9" spans="1:3" ht="15.75">
      <c r="A9" s="62">
        <v>1</v>
      </c>
      <c r="B9" s="62" t="s">
        <v>35</v>
      </c>
      <c r="C9" s="71">
        <v>8</v>
      </c>
    </row>
    <row r="10" spans="1:3" ht="15.75">
      <c r="A10" s="62">
        <v>2</v>
      </c>
      <c r="B10" s="62" t="s">
        <v>3</v>
      </c>
      <c r="C10" s="68" t="s">
        <v>50</v>
      </c>
    </row>
    <row r="11" spans="1:3" ht="15.75">
      <c r="A11" s="62">
        <v>3</v>
      </c>
      <c r="B11" s="62" t="s">
        <v>85</v>
      </c>
      <c r="C11" s="69">
        <v>0.25</v>
      </c>
    </row>
    <row r="12" spans="1:3" ht="15.75">
      <c r="A12" s="62">
        <v>4</v>
      </c>
      <c r="B12" s="62" t="s">
        <v>90</v>
      </c>
      <c r="C12" s="70">
        <v>0.7</v>
      </c>
    </row>
    <row r="13" spans="1:3" ht="15.75">
      <c r="A13" s="62">
        <v>5</v>
      </c>
      <c r="B13" s="62" t="s">
        <v>91</v>
      </c>
      <c r="C13" s="70">
        <v>0.1</v>
      </c>
    </row>
    <row r="14" spans="1:3" ht="15.75">
      <c r="A14" s="62">
        <v>6</v>
      </c>
      <c r="B14" s="62" t="s">
        <v>92</v>
      </c>
      <c r="C14" s="71">
        <f>C9*C11*1000000</f>
        <v>2000000</v>
      </c>
    </row>
    <row r="15" spans="1:3" ht="15.75">
      <c r="A15" s="62">
        <v>7</v>
      </c>
      <c r="B15" s="62" t="s">
        <v>10</v>
      </c>
      <c r="C15" s="70">
        <v>0.12</v>
      </c>
    </row>
    <row r="16" spans="1:3" ht="15.75">
      <c r="A16" s="62">
        <v>8</v>
      </c>
      <c r="B16" s="62" t="s">
        <v>86</v>
      </c>
      <c r="C16" s="72">
        <f>C14*C15</f>
        <v>240000</v>
      </c>
    </row>
    <row r="17" spans="1:6" ht="15.75">
      <c r="A17" s="62">
        <v>9</v>
      </c>
      <c r="B17" s="62" t="s">
        <v>87</v>
      </c>
      <c r="C17" s="70">
        <v>0.3</v>
      </c>
      <c r="F17" s="21"/>
    </row>
    <row r="18" spans="1:6" ht="15.75">
      <c r="A18" s="62">
        <v>10</v>
      </c>
      <c r="B18" s="62" t="s">
        <v>88</v>
      </c>
      <c r="C18" s="73">
        <v>0</v>
      </c>
    </row>
    <row r="19" spans="1:6" ht="15.75">
      <c r="A19" s="62">
        <v>11</v>
      </c>
      <c r="B19" s="62" t="s">
        <v>89</v>
      </c>
      <c r="C19" s="70">
        <f>1-C17</f>
        <v>0.7</v>
      </c>
    </row>
    <row r="20" spans="1:6" ht="19.5" thickBot="1">
      <c r="A20" s="65">
        <v>12</v>
      </c>
      <c r="B20" s="65" t="s">
        <v>100</v>
      </c>
      <c r="C20" s="66">
        <f>C16*C19</f>
        <v>168000</v>
      </c>
    </row>
    <row r="21" spans="1:6" ht="15.75" thickTop="1"/>
    <row r="22" spans="1:6" ht="18.75">
      <c r="A22" s="86" t="s">
        <v>93</v>
      </c>
      <c r="B22" s="85"/>
      <c r="C22" s="85"/>
    </row>
    <row r="23" spans="1:6" ht="15.75">
      <c r="A23" s="62">
        <v>13</v>
      </c>
      <c r="B23" s="62" t="s">
        <v>94</v>
      </c>
      <c r="C23" s="67">
        <f>C9*1000000*C15</f>
        <v>960000</v>
      </c>
    </row>
    <row r="24" spans="1:6" ht="15.75">
      <c r="A24" s="62">
        <v>14</v>
      </c>
      <c r="B24" s="62" t="s">
        <v>39</v>
      </c>
      <c r="C24" s="70">
        <v>0.08</v>
      </c>
    </row>
    <row r="25" spans="1:6" ht="15.75">
      <c r="A25" s="62">
        <v>15</v>
      </c>
      <c r="B25" s="62" t="s">
        <v>95</v>
      </c>
      <c r="C25" s="71">
        <f>C9*1000000*C15*C24</f>
        <v>76800</v>
      </c>
    </row>
    <row r="26" spans="1:6" ht="15.75">
      <c r="A26" s="62">
        <v>16</v>
      </c>
      <c r="B26" s="62" t="s">
        <v>96</v>
      </c>
      <c r="C26" s="71">
        <f>C20</f>
        <v>168000</v>
      </c>
    </row>
    <row r="27" spans="1:6" ht="15.75">
      <c r="A27" s="74">
        <v>17</v>
      </c>
      <c r="B27" s="62" t="s">
        <v>99</v>
      </c>
      <c r="C27" s="71">
        <f>C25+C20</f>
        <v>244800</v>
      </c>
    </row>
    <row r="28" spans="1:6" ht="19.5" thickBot="1">
      <c r="A28" s="63">
        <v>18</v>
      </c>
      <c r="B28" s="63" t="s">
        <v>97</v>
      </c>
      <c r="C28" s="64">
        <f>C26/C25</f>
        <v>2.1875</v>
      </c>
    </row>
    <row r="29" spans="1:6" ht="15.75" thickTop="1"/>
    <row r="30" spans="1:6" ht="18.75">
      <c r="A30" s="89" t="s">
        <v>111</v>
      </c>
      <c r="B30" s="88"/>
      <c r="C30" s="88"/>
    </row>
    <row r="31" spans="1:6" ht="15.75">
      <c r="A31" s="90" t="s">
        <v>112</v>
      </c>
      <c r="B31" s="88"/>
      <c r="C31" s="88"/>
    </row>
    <row r="33" spans="1:3">
      <c r="A33" s="92" t="s">
        <v>113</v>
      </c>
      <c r="B33" s="4"/>
      <c r="C33" s="4"/>
    </row>
    <row r="36" spans="1:3">
      <c r="A36" s="5" t="s">
        <v>108</v>
      </c>
      <c r="B36" s="4"/>
      <c r="C36" s="4"/>
    </row>
    <row r="37" spans="1:3" ht="18.75">
      <c r="A37" s="19" t="s">
        <v>109</v>
      </c>
      <c r="B37" s="4"/>
      <c r="C37" s="4"/>
    </row>
    <row r="38" spans="1:3" ht="18.75">
      <c r="A38" s="80" t="s">
        <v>84</v>
      </c>
      <c r="B38" s="5"/>
      <c r="C38" s="5"/>
    </row>
    <row r="39" spans="1:3">
      <c r="A39" s="5"/>
      <c r="B39" s="5"/>
      <c r="C39" s="5"/>
    </row>
    <row r="40" spans="1:3" ht="19.5" thickBot="1">
      <c r="A40" s="83" t="s">
        <v>110</v>
      </c>
      <c r="B40" s="84"/>
      <c r="C40" s="84"/>
    </row>
    <row r="41" spans="1:3" ht="19.5" thickTop="1">
      <c r="A41" s="86" t="s">
        <v>114</v>
      </c>
      <c r="B41" s="85"/>
      <c r="C41" s="85"/>
    </row>
    <row r="42" spans="1:3" ht="15.75">
      <c r="A42" s="75">
        <v>1</v>
      </c>
      <c r="B42" s="75" t="s">
        <v>35</v>
      </c>
      <c r="C42" s="93">
        <v>8</v>
      </c>
    </row>
    <row r="43" spans="1:3" ht="15.75">
      <c r="A43" s="62">
        <v>2</v>
      </c>
      <c r="B43" s="62" t="s">
        <v>12</v>
      </c>
      <c r="C43" s="72">
        <v>6000</v>
      </c>
    </row>
    <row r="44" spans="1:3" ht="15.75">
      <c r="A44" s="62">
        <v>3</v>
      </c>
      <c r="B44" s="62" t="s">
        <v>13</v>
      </c>
      <c r="C44" s="76">
        <f>C9*1000000*(1+C11)/C43</f>
        <v>1666.6666666666667</v>
      </c>
    </row>
    <row r="45" spans="1:3" ht="15.75">
      <c r="A45" s="62">
        <v>4</v>
      </c>
      <c r="B45" s="62" t="s">
        <v>98</v>
      </c>
      <c r="C45" s="82">
        <v>50</v>
      </c>
    </row>
    <row r="46" spans="1:3" ht="15.75">
      <c r="A46" s="62">
        <v>5</v>
      </c>
      <c r="B46" s="62" t="s">
        <v>18</v>
      </c>
      <c r="C46" s="77">
        <f>C44*C45</f>
        <v>83333.333333333343</v>
      </c>
    </row>
    <row r="47" spans="1:3" ht="18.75">
      <c r="A47" s="86" t="s">
        <v>102</v>
      </c>
      <c r="B47" s="85"/>
      <c r="C47" s="87"/>
    </row>
    <row r="48" spans="1:3" ht="15.75">
      <c r="A48" s="62">
        <v>6</v>
      </c>
      <c r="B48" s="62" t="s">
        <v>99</v>
      </c>
      <c r="C48" s="72">
        <f>C27</f>
        <v>244800</v>
      </c>
    </row>
    <row r="49" spans="1:3" ht="15.75">
      <c r="A49" s="62">
        <v>7</v>
      </c>
      <c r="B49" s="62" t="s">
        <v>27</v>
      </c>
      <c r="C49" s="71">
        <f>-C46</f>
        <v>-83333.333333333343</v>
      </c>
    </row>
    <row r="50" spans="1:3" ht="15.75">
      <c r="A50" s="62">
        <v>8</v>
      </c>
      <c r="B50" s="62" t="s">
        <v>28</v>
      </c>
      <c r="C50" s="72">
        <f>C48+C49</f>
        <v>161466.66666666666</v>
      </c>
    </row>
    <row r="51" spans="1:3" ht="15.75">
      <c r="A51" s="62">
        <v>9</v>
      </c>
      <c r="B51" s="62" t="s">
        <v>101</v>
      </c>
      <c r="C51" s="71">
        <f>C25</f>
        <v>76800</v>
      </c>
    </row>
    <row r="52" spans="1:3" ht="19.5" thickBot="1">
      <c r="A52" s="78">
        <v>10</v>
      </c>
      <c r="B52" s="78" t="s">
        <v>102</v>
      </c>
      <c r="C52" s="79">
        <f>C50-C51</f>
        <v>84666.666666666657</v>
      </c>
    </row>
    <row r="53" spans="1:3" ht="19.5" thickTop="1">
      <c r="A53" s="86" t="s">
        <v>115</v>
      </c>
      <c r="B53" s="85"/>
      <c r="C53" s="85"/>
    </row>
    <row r="54" spans="1:3" ht="15.75">
      <c r="A54" s="62">
        <v>11</v>
      </c>
      <c r="B54" s="62" t="s">
        <v>101</v>
      </c>
      <c r="C54" s="71">
        <f>C25</f>
        <v>76800</v>
      </c>
    </row>
    <row r="55" spans="1:3" ht="15.75">
      <c r="A55" s="62">
        <v>12</v>
      </c>
      <c r="B55" s="62" t="s">
        <v>118</v>
      </c>
      <c r="C55" s="72">
        <f>C52</f>
        <v>84666.666666666657</v>
      </c>
    </row>
    <row r="56" spans="1:3" ht="15.75">
      <c r="A56" s="62">
        <v>13</v>
      </c>
      <c r="B56" s="62" t="s">
        <v>105</v>
      </c>
      <c r="C56" s="71">
        <f>C54+C55</f>
        <v>161466.66666666666</v>
      </c>
    </row>
    <row r="57" spans="1:3" ht="19.5" thickBot="1">
      <c r="A57" s="63">
        <v>14</v>
      </c>
      <c r="B57" s="63" t="s">
        <v>106</v>
      </c>
      <c r="C57" s="64">
        <f>C55/C54</f>
        <v>1.1024305555555554</v>
      </c>
    </row>
    <row r="58" spans="1:3" ht="16.5" thickTop="1">
      <c r="A58" s="62">
        <v>15</v>
      </c>
      <c r="B58" s="62" t="s">
        <v>103</v>
      </c>
      <c r="C58" s="67">
        <f>C23+C16</f>
        <v>1200000</v>
      </c>
    </row>
    <row r="59" spans="1:3" ht="15.75">
      <c r="A59" s="62">
        <v>16</v>
      </c>
      <c r="B59" s="62" t="s">
        <v>104</v>
      </c>
      <c r="C59" s="81">
        <f>C56/C58</f>
        <v>0.13455555555555554</v>
      </c>
    </row>
    <row r="60" spans="1:3" ht="19.5" thickBot="1">
      <c r="A60" s="63">
        <v>17</v>
      </c>
      <c r="B60" s="63" t="s">
        <v>107</v>
      </c>
      <c r="C60" s="64">
        <f>(C59-C24)/C24</f>
        <v>0.68194444444444424</v>
      </c>
    </row>
    <row r="61" spans="1:3" ht="15.75" thickTop="1"/>
    <row r="62" spans="1:3" ht="18.75">
      <c r="A62" s="89" t="s">
        <v>111</v>
      </c>
      <c r="B62" s="88"/>
      <c r="C62" s="88"/>
    </row>
    <row r="63" spans="1:3" ht="15.75">
      <c r="A63" s="90" t="s">
        <v>132</v>
      </c>
      <c r="B63" s="91"/>
      <c r="C63" s="88"/>
    </row>
    <row r="64" spans="1:3" ht="15.75">
      <c r="A64" s="90" t="s">
        <v>133</v>
      </c>
      <c r="B64" s="90"/>
      <c r="C64" s="90"/>
    </row>
    <row r="66" spans="1:3">
      <c r="A66" s="92" t="s">
        <v>113</v>
      </c>
      <c r="B66" s="4"/>
      <c r="C66" s="4"/>
    </row>
  </sheetData>
  <printOptions horizontalCentered="1"/>
  <pageMargins left="0.2" right="0.2" top="0.5" bottom="0.5" header="0.3" footer="0.3"/>
  <pageSetup orientation="landscape" horizontalDpi="1200" verticalDpi="1200" r:id="rId1"/>
  <rowBreaks count="1" manualBreakCount="1">
    <brk id="3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5"/>
  <sheetViews>
    <sheetView topLeftCell="A37" workbookViewId="0">
      <selection activeCell="C57" sqref="C57"/>
    </sheetView>
  </sheetViews>
  <sheetFormatPr defaultRowHeight="15"/>
  <cols>
    <col min="1" max="1" width="5.5703125" customWidth="1"/>
    <col min="2" max="2" width="51" customWidth="1"/>
    <col min="3" max="3" width="18.42578125" customWidth="1"/>
  </cols>
  <sheetData>
    <row r="1" spans="1:3" ht="18.75" customHeight="1"/>
    <row r="2" spans="1:3" ht="18.75" customHeight="1"/>
    <row r="3" spans="1:3">
      <c r="A3" s="5" t="s">
        <v>108</v>
      </c>
      <c r="B3" s="4"/>
      <c r="C3" s="4"/>
    </row>
    <row r="4" spans="1:3" ht="18.75">
      <c r="A4" s="19" t="s">
        <v>109</v>
      </c>
      <c r="B4" s="4"/>
      <c r="C4" s="4"/>
    </row>
    <row r="5" spans="1:3" ht="18.75">
      <c r="A5" s="80" t="s">
        <v>149</v>
      </c>
      <c r="B5" s="5"/>
      <c r="C5" s="5"/>
    </row>
    <row r="6" spans="1:3">
      <c r="A6" s="5"/>
      <c r="B6" s="5"/>
      <c r="C6" s="5"/>
    </row>
    <row r="7" spans="1:3" ht="19.5" thickBot="1">
      <c r="A7" s="83" t="s">
        <v>111</v>
      </c>
      <c r="B7" s="31"/>
      <c r="C7" s="32"/>
    </row>
    <row r="8" spans="1:3" ht="19.5" thickTop="1">
      <c r="A8" s="86" t="s">
        <v>100</v>
      </c>
      <c r="B8" s="85"/>
      <c r="C8" s="85"/>
    </row>
    <row r="9" spans="1:3" ht="15.75">
      <c r="A9" s="62">
        <v>1</v>
      </c>
      <c r="B9" s="62" t="s">
        <v>35</v>
      </c>
      <c r="C9" s="71">
        <v>10</v>
      </c>
    </row>
    <row r="10" spans="1:3" ht="15.75">
      <c r="A10" s="62">
        <v>2</v>
      </c>
      <c r="B10" s="62" t="s">
        <v>3</v>
      </c>
      <c r="C10" s="68" t="s">
        <v>50</v>
      </c>
    </row>
    <row r="11" spans="1:3" ht="15.75">
      <c r="A11" s="62">
        <v>3</v>
      </c>
      <c r="B11" s="62" t="s">
        <v>85</v>
      </c>
      <c r="C11" s="69">
        <v>0.25</v>
      </c>
    </row>
    <row r="12" spans="1:3" ht="15.75">
      <c r="A12" s="62">
        <v>4</v>
      </c>
      <c r="B12" s="62" t="s">
        <v>90</v>
      </c>
      <c r="C12" s="70">
        <v>0.7</v>
      </c>
    </row>
    <row r="13" spans="1:3" ht="15.75">
      <c r="A13" s="62">
        <v>5</v>
      </c>
      <c r="B13" s="62" t="s">
        <v>91</v>
      </c>
      <c r="C13" s="70">
        <v>0.1</v>
      </c>
    </row>
    <row r="14" spans="1:3" ht="15.75">
      <c r="A14" s="62">
        <v>6</v>
      </c>
      <c r="B14" s="62" t="s">
        <v>92</v>
      </c>
      <c r="C14" s="71">
        <f>C9*C11*1000000</f>
        <v>2500000</v>
      </c>
    </row>
    <row r="15" spans="1:3" ht="15.75">
      <c r="A15" s="62">
        <v>7</v>
      </c>
      <c r="B15" s="62" t="s">
        <v>10</v>
      </c>
      <c r="C15" s="70">
        <v>0.12</v>
      </c>
    </row>
    <row r="16" spans="1:3" ht="15.75">
      <c r="A16" s="62">
        <v>8</v>
      </c>
      <c r="B16" s="62" t="s">
        <v>86</v>
      </c>
      <c r="C16" s="72">
        <f>C14*C15</f>
        <v>300000</v>
      </c>
    </row>
    <row r="17" spans="1:3" ht="15.75">
      <c r="A17" s="62">
        <v>9</v>
      </c>
      <c r="B17" s="62" t="s">
        <v>87</v>
      </c>
      <c r="C17" s="70">
        <v>0.3</v>
      </c>
    </row>
    <row r="18" spans="1:3" ht="15.75">
      <c r="A18" s="62">
        <v>10</v>
      </c>
      <c r="B18" s="62" t="s">
        <v>88</v>
      </c>
      <c r="C18" s="73">
        <v>0</v>
      </c>
    </row>
    <row r="19" spans="1:3" ht="15.75">
      <c r="A19" s="62">
        <v>11</v>
      </c>
      <c r="B19" s="62" t="s">
        <v>89</v>
      </c>
      <c r="C19" s="70">
        <f>1-C17</f>
        <v>0.7</v>
      </c>
    </row>
    <row r="20" spans="1:3" ht="19.5" thickBot="1">
      <c r="A20" s="65">
        <v>12</v>
      </c>
      <c r="B20" s="65" t="s">
        <v>100</v>
      </c>
      <c r="C20" s="66">
        <f>C16*C19</f>
        <v>210000</v>
      </c>
    </row>
    <row r="21" spans="1:3" ht="15.75" thickTop="1"/>
    <row r="22" spans="1:3" ht="18.75">
      <c r="A22" s="86" t="s">
        <v>93</v>
      </c>
      <c r="B22" s="85"/>
      <c r="C22" s="85"/>
    </row>
    <row r="23" spans="1:3" ht="15.75">
      <c r="A23" s="62">
        <v>13</v>
      </c>
      <c r="B23" s="62" t="s">
        <v>94</v>
      </c>
      <c r="C23" s="67">
        <f>C9*1000000*C15</f>
        <v>1200000</v>
      </c>
    </row>
    <row r="24" spans="1:3" ht="15.75">
      <c r="A24" s="62">
        <v>14</v>
      </c>
      <c r="B24" s="62" t="s">
        <v>39</v>
      </c>
      <c r="C24" s="70">
        <v>0.08</v>
      </c>
    </row>
    <row r="25" spans="1:3" ht="15.75">
      <c r="A25" s="62">
        <v>15</v>
      </c>
      <c r="B25" s="62" t="s">
        <v>95</v>
      </c>
      <c r="C25" s="71">
        <f>C9*1000000*C15*C24</f>
        <v>96000</v>
      </c>
    </row>
    <row r="26" spans="1:3" ht="15.75">
      <c r="A26" s="62">
        <v>16</v>
      </c>
      <c r="B26" s="62" t="s">
        <v>96</v>
      </c>
      <c r="C26" s="71">
        <f>C20</f>
        <v>210000</v>
      </c>
    </row>
    <row r="27" spans="1:3" ht="15.75">
      <c r="A27" s="74">
        <v>17</v>
      </c>
      <c r="B27" s="62" t="s">
        <v>99</v>
      </c>
      <c r="C27" s="71">
        <f>C25+C20</f>
        <v>306000</v>
      </c>
    </row>
    <row r="28" spans="1:3" ht="19.5" thickBot="1">
      <c r="A28" s="63">
        <v>18</v>
      </c>
      <c r="B28" s="63" t="s">
        <v>97</v>
      </c>
      <c r="C28" s="64">
        <f>C26/C25</f>
        <v>2.1875</v>
      </c>
    </row>
    <row r="29" spans="1:3" ht="15.75" thickTop="1"/>
    <row r="30" spans="1:3" ht="18.75">
      <c r="A30" s="89" t="s">
        <v>111</v>
      </c>
      <c r="B30" s="88"/>
      <c r="C30" s="88"/>
    </row>
    <row r="31" spans="1:3" ht="15.75">
      <c r="A31" s="90" t="s">
        <v>131</v>
      </c>
      <c r="B31" s="88"/>
      <c r="C31" s="88"/>
    </row>
    <row r="33" spans="1:3">
      <c r="A33" s="92" t="s">
        <v>113</v>
      </c>
      <c r="B33" s="4"/>
      <c r="C33" s="4"/>
    </row>
    <row r="34" spans="1:3" ht="18.75" customHeight="1"/>
    <row r="35" spans="1:3" ht="20.25" customHeight="1"/>
    <row r="36" spans="1:3">
      <c r="A36" s="5" t="s">
        <v>108</v>
      </c>
      <c r="B36" s="4"/>
      <c r="C36" s="4"/>
    </row>
    <row r="37" spans="1:3" ht="18.75">
      <c r="A37" s="19" t="s">
        <v>109</v>
      </c>
      <c r="B37" s="4"/>
      <c r="C37" s="4"/>
    </row>
    <row r="38" spans="1:3" ht="18.75">
      <c r="A38" s="80" t="s">
        <v>149</v>
      </c>
      <c r="B38" s="5"/>
      <c r="C38" s="5"/>
    </row>
    <row r="39" spans="1:3">
      <c r="A39" s="5"/>
      <c r="B39" s="5"/>
      <c r="C39" s="5"/>
    </row>
    <row r="40" spans="1:3" ht="19.5" thickBot="1">
      <c r="A40" s="83" t="s">
        <v>110</v>
      </c>
      <c r="B40" s="84"/>
      <c r="C40" s="84"/>
    </row>
    <row r="41" spans="1:3" ht="19.5" thickTop="1">
      <c r="A41" s="86" t="s">
        <v>114</v>
      </c>
      <c r="B41" s="85"/>
      <c r="C41" s="85"/>
    </row>
    <row r="42" spans="1:3" ht="15.75">
      <c r="A42" s="75">
        <v>1</v>
      </c>
      <c r="B42" s="75" t="s">
        <v>35</v>
      </c>
      <c r="C42" s="93">
        <f>C9</f>
        <v>10</v>
      </c>
    </row>
    <row r="43" spans="1:3" ht="15.75">
      <c r="A43" s="62">
        <v>2</v>
      </c>
      <c r="B43" s="62" t="s">
        <v>12</v>
      </c>
      <c r="C43" s="72">
        <v>9500</v>
      </c>
    </row>
    <row r="44" spans="1:3" ht="15.75">
      <c r="A44" s="62">
        <v>3</v>
      </c>
      <c r="B44" s="62" t="s">
        <v>13</v>
      </c>
      <c r="C44" s="76">
        <f>C9*1000000*(1+C11)/C43</f>
        <v>1315.7894736842106</v>
      </c>
    </row>
    <row r="45" spans="1:3" ht="15.75">
      <c r="A45" s="62">
        <v>4</v>
      </c>
      <c r="B45" s="62" t="s">
        <v>98</v>
      </c>
      <c r="C45" s="82">
        <v>55</v>
      </c>
    </row>
    <row r="46" spans="1:3" ht="15.75">
      <c r="A46" s="62">
        <v>5</v>
      </c>
      <c r="B46" s="62" t="s">
        <v>18</v>
      </c>
      <c r="C46" s="77">
        <f>C44*C45</f>
        <v>72368.421052631587</v>
      </c>
    </row>
    <row r="47" spans="1:3" ht="18.75">
      <c r="A47" s="86" t="s">
        <v>102</v>
      </c>
      <c r="B47" s="85"/>
      <c r="C47" s="87"/>
    </row>
    <row r="48" spans="1:3" ht="15.75">
      <c r="A48" s="62">
        <v>6</v>
      </c>
      <c r="B48" s="62" t="s">
        <v>99</v>
      </c>
      <c r="C48" s="72">
        <f>C27</f>
        <v>306000</v>
      </c>
    </row>
    <row r="49" spans="1:3" ht="15.75">
      <c r="A49" s="62">
        <v>7</v>
      </c>
      <c r="B49" s="62" t="s">
        <v>27</v>
      </c>
      <c r="C49" s="71">
        <f>-C46</f>
        <v>-72368.421052631587</v>
      </c>
    </row>
    <row r="50" spans="1:3" ht="15.75">
      <c r="A50" s="62">
        <v>8</v>
      </c>
      <c r="B50" s="62" t="s">
        <v>28</v>
      </c>
      <c r="C50" s="72">
        <f>C48+C49</f>
        <v>233631.57894736843</v>
      </c>
    </row>
    <row r="51" spans="1:3" ht="15.75">
      <c r="A51" s="62">
        <v>9</v>
      </c>
      <c r="B51" s="62" t="s">
        <v>101</v>
      </c>
      <c r="C51" s="71">
        <f>C25</f>
        <v>96000</v>
      </c>
    </row>
    <row r="52" spans="1:3" ht="19.5" thickBot="1">
      <c r="A52" s="78">
        <v>10</v>
      </c>
      <c r="B52" s="78" t="s">
        <v>102</v>
      </c>
      <c r="C52" s="79">
        <f>C50-C51</f>
        <v>137631.57894736843</v>
      </c>
    </row>
    <row r="53" spans="1:3" ht="19.5" thickTop="1">
      <c r="A53" s="86" t="s">
        <v>115</v>
      </c>
      <c r="B53" s="85"/>
      <c r="C53" s="85"/>
    </row>
    <row r="54" spans="1:3" ht="15.75">
      <c r="A54" s="62">
        <v>11</v>
      </c>
      <c r="B54" s="62" t="s">
        <v>101</v>
      </c>
      <c r="C54" s="71">
        <f>C25</f>
        <v>96000</v>
      </c>
    </row>
    <row r="55" spans="1:3" ht="15.75">
      <c r="A55" s="62">
        <v>12</v>
      </c>
      <c r="B55" s="62" t="s">
        <v>118</v>
      </c>
      <c r="C55" s="72">
        <f>C52</f>
        <v>137631.57894736843</v>
      </c>
    </row>
    <row r="56" spans="1:3" ht="15.75">
      <c r="A56" s="62">
        <v>13</v>
      </c>
      <c r="B56" s="62" t="s">
        <v>105</v>
      </c>
      <c r="C56" s="71">
        <f>C54+C55</f>
        <v>233631.57894736843</v>
      </c>
    </row>
    <row r="57" spans="1:3" ht="19.5" thickBot="1">
      <c r="A57" s="63">
        <v>14</v>
      </c>
      <c r="B57" s="63" t="s">
        <v>106</v>
      </c>
      <c r="C57" s="64">
        <f>C55/C54</f>
        <v>1.4336622807017545</v>
      </c>
    </row>
    <row r="58" spans="1:3" ht="16.5" thickTop="1">
      <c r="A58" s="62">
        <v>15</v>
      </c>
      <c r="B58" s="62" t="s">
        <v>103</v>
      </c>
      <c r="C58" s="67">
        <f>C23+C16</f>
        <v>1500000</v>
      </c>
    </row>
    <row r="59" spans="1:3" ht="15.75">
      <c r="A59" s="62">
        <v>16</v>
      </c>
      <c r="B59" s="62" t="s">
        <v>104</v>
      </c>
      <c r="C59" s="81">
        <f>C56/C58</f>
        <v>0.15575438596491228</v>
      </c>
    </row>
    <row r="60" spans="1:3" ht="19.5" thickBot="1">
      <c r="A60" s="63">
        <v>17</v>
      </c>
      <c r="B60" s="63" t="s">
        <v>107</v>
      </c>
      <c r="C60" s="64">
        <f>(C59-C24)/C24</f>
        <v>0.94692982456140351</v>
      </c>
    </row>
    <row r="61" spans="1:3" ht="15.75" thickTop="1"/>
    <row r="62" spans="1:3" ht="18.75">
      <c r="A62" s="89" t="s">
        <v>111</v>
      </c>
      <c r="B62" s="88"/>
      <c r="C62" s="88"/>
    </row>
    <row r="63" spans="1:3" ht="15.75">
      <c r="A63" s="90" t="s">
        <v>127</v>
      </c>
      <c r="B63" s="91"/>
      <c r="C63" s="88"/>
    </row>
    <row r="64" spans="1:3" ht="15.75">
      <c r="A64" s="90" t="s">
        <v>128</v>
      </c>
      <c r="B64" s="90"/>
      <c r="C64" s="90"/>
    </row>
    <row r="65" spans="1:3">
      <c r="A65" s="92" t="s">
        <v>113</v>
      </c>
      <c r="B65" s="4"/>
      <c r="C65" s="4"/>
    </row>
  </sheetData>
  <printOptions horizontalCentered="1"/>
  <pageMargins left="0.7" right="0.7" top="0.5" bottom="0.5" header="0.3" footer="0.3"/>
  <pageSetup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topLeftCell="A62" workbookViewId="0">
      <selection activeCell="E79" sqref="E79"/>
    </sheetView>
  </sheetViews>
  <sheetFormatPr defaultRowHeight="15"/>
  <cols>
    <col min="1" max="1" width="5.5703125" customWidth="1"/>
    <col min="2" max="2" width="51" customWidth="1"/>
    <col min="3" max="3" width="18.42578125" customWidth="1"/>
    <col min="4" max="4" width="12.5703125" customWidth="1"/>
    <col min="5" max="5" width="11.42578125" customWidth="1"/>
  </cols>
  <sheetData>
    <row r="1" spans="1:3" ht="18.75" customHeight="1"/>
    <row r="2" spans="1:3" ht="18.75" customHeight="1"/>
    <row r="3" spans="1:3">
      <c r="A3" s="5" t="s">
        <v>108</v>
      </c>
      <c r="B3" s="4"/>
      <c r="C3" s="4"/>
    </row>
    <row r="4" spans="1:3" ht="18.75">
      <c r="A4" s="19" t="s">
        <v>109</v>
      </c>
      <c r="B4" s="4"/>
      <c r="C4" s="4"/>
    </row>
    <row r="5" spans="1:3" ht="18.75">
      <c r="A5" s="80" t="s">
        <v>116</v>
      </c>
      <c r="B5" s="5"/>
      <c r="C5" s="5"/>
    </row>
    <row r="6" spans="1:3">
      <c r="A6" s="5"/>
      <c r="B6" s="5"/>
      <c r="C6" s="5"/>
    </row>
    <row r="7" spans="1:3" ht="19.5" thickBot="1">
      <c r="A7" s="83" t="s">
        <v>111</v>
      </c>
      <c r="B7" s="31"/>
      <c r="C7" s="32"/>
    </row>
    <row r="8" spans="1:3" ht="19.5" thickTop="1">
      <c r="A8" s="86" t="s">
        <v>100</v>
      </c>
      <c r="B8" s="85"/>
      <c r="C8" s="85"/>
    </row>
    <row r="9" spans="1:3" ht="15.75">
      <c r="A9" s="62">
        <v>1</v>
      </c>
      <c r="B9" s="62" t="s">
        <v>35</v>
      </c>
      <c r="C9" s="71">
        <v>15</v>
      </c>
    </row>
    <row r="10" spans="1:3" ht="15.75">
      <c r="A10" s="62">
        <v>2</v>
      </c>
      <c r="B10" s="62" t="s">
        <v>3</v>
      </c>
      <c r="C10" s="68" t="s">
        <v>50</v>
      </c>
    </row>
    <row r="11" spans="1:3" ht="15.75">
      <c r="A11" s="62">
        <v>3</v>
      </c>
      <c r="B11" s="62" t="s">
        <v>85</v>
      </c>
      <c r="C11" s="69">
        <v>0.25</v>
      </c>
    </row>
    <row r="12" spans="1:3" ht="15.75">
      <c r="A12" s="62">
        <v>4</v>
      </c>
      <c r="B12" s="62" t="s">
        <v>90</v>
      </c>
      <c r="C12" s="70">
        <v>0.7</v>
      </c>
    </row>
    <row r="13" spans="1:3" ht="15.75">
      <c r="A13" s="62">
        <v>5</v>
      </c>
      <c r="B13" s="62" t="s">
        <v>91</v>
      </c>
      <c r="C13" s="70">
        <v>0.1</v>
      </c>
    </row>
    <row r="14" spans="1:3" ht="15.75">
      <c r="A14" s="62">
        <v>6</v>
      </c>
      <c r="B14" s="62" t="s">
        <v>92</v>
      </c>
      <c r="C14" s="71">
        <f>C9*C11*1000000</f>
        <v>3750000</v>
      </c>
    </row>
    <row r="15" spans="1:3" ht="15.75">
      <c r="A15" s="62">
        <v>7</v>
      </c>
      <c r="B15" s="62" t="s">
        <v>10</v>
      </c>
      <c r="C15" s="70">
        <v>0.12</v>
      </c>
    </row>
    <row r="16" spans="1:3" ht="15.75">
      <c r="A16" s="62">
        <v>8</v>
      </c>
      <c r="B16" s="62" t="s">
        <v>86</v>
      </c>
      <c r="C16" s="72">
        <f>C14*C15</f>
        <v>450000</v>
      </c>
    </row>
    <row r="17" spans="1:4" ht="15.75">
      <c r="A17" s="62">
        <v>9</v>
      </c>
      <c r="B17" s="62" t="s">
        <v>87</v>
      </c>
      <c r="C17" s="70">
        <v>0.3</v>
      </c>
    </row>
    <row r="18" spans="1:4" ht="15.75">
      <c r="A18" s="62">
        <v>10</v>
      </c>
      <c r="B18" s="62" t="s">
        <v>88</v>
      </c>
      <c r="C18" s="73">
        <v>0</v>
      </c>
    </row>
    <row r="19" spans="1:4" ht="15.75">
      <c r="A19" s="62">
        <v>11</v>
      </c>
      <c r="B19" s="62" t="s">
        <v>89</v>
      </c>
      <c r="C19" s="70">
        <f>1-C17</f>
        <v>0.7</v>
      </c>
    </row>
    <row r="20" spans="1:4" ht="19.5" thickBot="1">
      <c r="A20" s="65">
        <v>12</v>
      </c>
      <c r="B20" s="65" t="s">
        <v>100</v>
      </c>
      <c r="C20" s="66">
        <f>C16*C19</f>
        <v>315000</v>
      </c>
    </row>
    <row r="21" spans="1:4" ht="15.75" thickTop="1"/>
    <row r="22" spans="1:4" ht="18.75">
      <c r="A22" s="86" t="s">
        <v>93</v>
      </c>
      <c r="B22" s="85"/>
      <c r="C22" s="85"/>
    </row>
    <row r="23" spans="1:4" ht="15.75">
      <c r="A23" s="62">
        <v>13</v>
      </c>
      <c r="B23" s="62" t="s">
        <v>94</v>
      </c>
      <c r="C23" s="71">
        <f>C9*1000000*C15</f>
        <v>1800000</v>
      </c>
    </row>
    <row r="24" spans="1:4" ht="15.75">
      <c r="A24" s="62">
        <v>14</v>
      </c>
      <c r="B24" s="62" t="s">
        <v>39</v>
      </c>
      <c r="C24" s="70">
        <v>0.08</v>
      </c>
    </row>
    <row r="25" spans="1:4" ht="15.75">
      <c r="A25" s="62">
        <v>15</v>
      </c>
      <c r="B25" s="62" t="s">
        <v>95</v>
      </c>
      <c r="C25" s="71">
        <f>C9*1000000*C15*C24</f>
        <v>144000</v>
      </c>
    </row>
    <row r="26" spans="1:4" ht="15.75">
      <c r="A26" s="62">
        <v>16</v>
      </c>
      <c r="B26" s="62" t="s">
        <v>96</v>
      </c>
      <c r="C26" s="71">
        <f>C20</f>
        <v>315000</v>
      </c>
    </row>
    <row r="27" spans="1:4" ht="15.75">
      <c r="A27" s="74">
        <v>17</v>
      </c>
      <c r="B27" s="62" t="s">
        <v>99</v>
      </c>
      <c r="C27" s="71">
        <f>C25+C20</f>
        <v>459000</v>
      </c>
    </row>
    <row r="28" spans="1:4" ht="19.5" thickBot="1">
      <c r="A28" s="63">
        <v>18</v>
      </c>
      <c r="B28" s="63" t="s">
        <v>97</v>
      </c>
      <c r="C28" s="64">
        <f>C26/C25</f>
        <v>2.1875</v>
      </c>
      <c r="D28" s="2"/>
    </row>
    <row r="29" spans="1:4" ht="15.75" thickTop="1"/>
    <row r="30" spans="1:4" ht="18.75">
      <c r="A30" s="89" t="s">
        <v>111</v>
      </c>
      <c r="B30" s="88"/>
      <c r="C30" s="88"/>
    </row>
    <row r="31" spans="1:4" ht="15.75">
      <c r="A31" s="90" t="s">
        <v>131</v>
      </c>
      <c r="B31" s="88"/>
      <c r="C31" s="88"/>
    </row>
    <row r="33" spans="1:3">
      <c r="A33" s="92" t="s">
        <v>113</v>
      </c>
      <c r="B33" s="4"/>
      <c r="C33" s="4"/>
    </row>
    <row r="34" spans="1:3" ht="18" customHeight="1"/>
    <row r="35" spans="1:3" ht="18.75" customHeight="1"/>
    <row r="36" spans="1:3">
      <c r="A36" s="5" t="s">
        <v>108</v>
      </c>
      <c r="B36" s="4"/>
      <c r="C36" s="4"/>
    </row>
    <row r="37" spans="1:3" ht="18.75">
      <c r="A37" s="19" t="s">
        <v>109</v>
      </c>
      <c r="B37" s="4"/>
      <c r="C37" s="4"/>
    </row>
    <row r="38" spans="1:3" ht="18.75">
      <c r="A38" s="80" t="s">
        <v>116</v>
      </c>
      <c r="B38" s="5"/>
      <c r="C38" s="5"/>
    </row>
    <row r="39" spans="1:3">
      <c r="A39" s="5"/>
      <c r="B39" s="5"/>
      <c r="C39" s="5"/>
    </row>
    <row r="40" spans="1:3" ht="19.5" thickBot="1">
      <c r="A40" s="83" t="s">
        <v>110</v>
      </c>
      <c r="B40" s="84"/>
      <c r="C40" s="84"/>
    </row>
    <row r="41" spans="1:3" ht="19.5" thickTop="1">
      <c r="A41" s="86" t="s">
        <v>114</v>
      </c>
      <c r="B41" s="85"/>
      <c r="C41" s="85"/>
    </row>
    <row r="42" spans="1:3" ht="15.75">
      <c r="A42" s="75">
        <v>1</v>
      </c>
      <c r="B42" s="75" t="s">
        <v>35</v>
      </c>
      <c r="C42" s="93">
        <f>C9</f>
        <v>15</v>
      </c>
    </row>
    <row r="43" spans="1:3" ht="15.75">
      <c r="A43" s="62">
        <v>2</v>
      </c>
      <c r="B43" s="62" t="s">
        <v>12</v>
      </c>
      <c r="C43" s="72">
        <v>10800</v>
      </c>
    </row>
    <row r="44" spans="1:3" ht="15.75">
      <c r="A44" s="62">
        <v>3</v>
      </c>
      <c r="B44" s="62" t="s">
        <v>13</v>
      </c>
      <c r="C44" s="76">
        <f>C9*1000000*(1+C11)/C43</f>
        <v>1736.1111111111111</v>
      </c>
    </row>
    <row r="45" spans="1:3" ht="15.75">
      <c r="A45" s="62">
        <v>4</v>
      </c>
      <c r="B45" s="62" t="s">
        <v>98</v>
      </c>
      <c r="C45" s="82">
        <v>60</v>
      </c>
    </row>
    <row r="46" spans="1:3" ht="15.75">
      <c r="A46" s="62">
        <v>5</v>
      </c>
      <c r="B46" s="62" t="s">
        <v>18</v>
      </c>
      <c r="C46" s="77">
        <f>C44*C45</f>
        <v>104166.66666666667</v>
      </c>
    </row>
    <row r="47" spans="1:3" ht="18.75">
      <c r="A47" s="86" t="s">
        <v>102</v>
      </c>
      <c r="B47" s="85"/>
      <c r="C47" s="87"/>
    </row>
    <row r="48" spans="1:3" ht="15.75">
      <c r="A48" s="62">
        <v>6</v>
      </c>
      <c r="B48" s="62" t="s">
        <v>99</v>
      </c>
      <c r="C48" s="72">
        <f>C27</f>
        <v>459000</v>
      </c>
    </row>
    <row r="49" spans="1:4" ht="15.75">
      <c r="A49" s="62">
        <v>7</v>
      </c>
      <c r="B49" s="62" t="s">
        <v>27</v>
      </c>
      <c r="C49" s="71">
        <f>-C46</f>
        <v>-104166.66666666667</v>
      </c>
    </row>
    <row r="50" spans="1:4" ht="15.75">
      <c r="A50" s="62">
        <v>8</v>
      </c>
      <c r="B50" s="62" t="s">
        <v>28</v>
      </c>
      <c r="C50" s="72">
        <f>C48+C49</f>
        <v>354833.33333333331</v>
      </c>
    </row>
    <row r="51" spans="1:4" ht="15.75">
      <c r="A51" s="62">
        <v>9</v>
      </c>
      <c r="B51" s="62" t="s">
        <v>101</v>
      </c>
      <c r="C51" s="71">
        <f>C25</f>
        <v>144000</v>
      </c>
    </row>
    <row r="52" spans="1:4" ht="19.5" thickBot="1">
      <c r="A52" s="78">
        <v>10</v>
      </c>
      <c r="B52" s="78" t="s">
        <v>102</v>
      </c>
      <c r="C52" s="79">
        <f>C50-C51</f>
        <v>210833.33333333331</v>
      </c>
    </row>
    <row r="53" spans="1:4" ht="19.5" thickTop="1">
      <c r="A53" s="86" t="s">
        <v>115</v>
      </c>
      <c r="B53" s="85"/>
      <c r="C53" s="85"/>
    </row>
    <row r="54" spans="1:4" ht="15.75">
      <c r="A54" s="62">
        <v>11</v>
      </c>
      <c r="B54" s="62" t="s">
        <v>101</v>
      </c>
      <c r="C54" s="71">
        <f>C25</f>
        <v>144000</v>
      </c>
    </row>
    <row r="55" spans="1:4" ht="15.75">
      <c r="A55" s="62">
        <v>12</v>
      </c>
      <c r="B55" s="62" t="s">
        <v>118</v>
      </c>
      <c r="C55" s="72">
        <f>C52</f>
        <v>210833.33333333331</v>
      </c>
    </row>
    <row r="56" spans="1:4" ht="15.75">
      <c r="A56" s="62">
        <v>13</v>
      </c>
      <c r="B56" s="62" t="s">
        <v>105</v>
      </c>
      <c r="C56" s="71">
        <f>C54+C55</f>
        <v>354833.33333333331</v>
      </c>
    </row>
    <row r="57" spans="1:4" ht="19.5" thickBot="1">
      <c r="A57" s="63">
        <v>14</v>
      </c>
      <c r="B57" s="63" t="s">
        <v>106</v>
      </c>
      <c r="C57" s="64">
        <f>C55/C54</f>
        <v>1.4641203703703702</v>
      </c>
      <c r="D57" s="2"/>
    </row>
    <row r="58" spans="1:4" ht="16.5" thickTop="1">
      <c r="A58" s="62">
        <v>15</v>
      </c>
      <c r="B58" s="62" t="s">
        <v>103</v>
      </c>
      <c r="C58" s="71">
        <f>C23+C16</f>
        <v>2250000</v>
      </c>
    </row>
    <row r="59" spans="1:4" ht="15.75">
      <c r="A59" s="62">
        <v>16</v>
      </c>
      <c r="B59" s="62" t="s">
        <v>104</v>
      </c>
      <c r="C59" s="81">
        <f>C56/C58</f>
        <v>0.15770370370370371</v>
      </c>
    </row>
    <row r="60" spans="1:4" ht="19.5" thickBot="1">
      <c r="A60" s="63">
        <v>17</v>
      </c>
      <c r="B60" s="63" t="s">
        <v>107</v>
      </c>
      <c r="C60" s="64">
        <f>(C59-C24)/C24</f>
        <v>0.97129629629629632</v>
      </c>
    </row>
    <row r="61" spans="1:4" ht="15.75" thickTop="1"/>
    <row r="62" spans="1:4" ht="18.75">
      <c r="A62" s="89" t="s">
        <v>111</v>
      </c>
      <c r="B62" s="88"/>
      <c r="C62" s="88"/>
    </row>
    <row r="63" spans="1:4" ht="15.75">
      <c r="A63" s="90" t="s">
        <v>126</v>
      </c>
      <c r="B63" s="91"/>
      <c r="C63" s="88"/>
    </row>
    <row r="64" spans="1:4" ht="15.75">
      <c r="A64" s="90" t="s">
        <v>128</v>
      </c>
      <c r="B64" s="90"/>
      <c r="C64" s="90"/>
    </row>
    <row r="66" spans="1:3">
      <c r="A66" s="92" t="s">
        <v>113</v>
      </c>
      <c r="B66" s="4"/>
      <c r="C66" s="4"/>
    </row>
  </sheetData>
  <printOptions horizontalCentered="1"/>
  <pageMargins left="0.45" right="0.45" top="0.5" bottom="0.5" header="0.3" footer="0.3"/>
  <pageSetup orientation="landscape" horizontalDpi="1200" verticalDpi="1200" r:id="rId1"/>
  <rowBreaks count="1" manualBreakCount="1">
    <brk id="3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7"/>
  <sheetViews>
    <sheetView topLeftCell="A43" workbookViewId="0">
      <selection activeCell="A31" sqref="A31"/>
    </sheetView>
  </sheetViews>
  <sheetFormatPr defaultRowHeight="15"/>
  <cols>
    <col min="1" max="1" width="5.5703125" customWidth="1"/>
    <col min="2" max="2" width="51" customWidth="1"/>
    <col min="3" max="3" width="18.42578125" customWidth="1"/>
  </cols>
  <sheetData>
    <row r="1" spans="1:3" ht="18" customHeight="1"/>
    <row r="2" spans="1:3" ht="16.5" customHeight="1"/>
    <row r="3" spans="1:3">
      <c r="A3" s="5" t="s">
        <v>108</v>
      </c>
      <c r="B3" s="4"/>
      <c r="C3" s="4"/>
    </row>
    <row r="4" spans="1:3" ht="18.75">
      <c r="A4" s="19" t="s">
        <v>109</v>
      </c>
      <c r="B4" s="4"/>
      <c r="C4" s="4"/>
    </row>
    <row r="5" spans="1:3" ht="18.75">
      <c r="A5" s="80" t="s">
        <v>117</v>
      </c>
      <c r="B5" s="5"/>
      <c r="C5" s="5"/>
    </row>
    <row r="6" spans="1:3">
      <c r="A6" s="5"/>
      <c r="B6" s="5"/>
      <c r="C6" s="5"/>
    </row>
    <row r="7" spans="1:3" ht="19.5" thickBot="1">
      <c r="A7" s="83" t="s">
        <v>111</v>
      </c>
      <c r="B7" s="31"/>
      <c r="C7" s="32"/>
    </row>
    <row r="8" spans="1:3" ht="19.5" thickTop="1">
      <c r="A8" s="86" t="s">
        <v>100</v>
      </c>
      <c r="B8" s="85"/>
      <c r="C8" s="85"/>
    </row>
    <row r="9" spans="1:3" ht="15.75">
      <c r="A9" s="62">
        <v>1</v>
      </c>
      <c r="B9" s="62" t="s">
        <v>35</v>
      </c>
      <c r="C9" s="71">
        <v>25</v>
      </c>
    </row>
    <row r="10" spans="1:3" ht="15.75">
      <c r="A10" s="62">
        <v>2</v>
      </c>
      <c r="B10" s="62" t="s">
        <v>3</v>
      </c>
      <c r="C10" s="68" t="s">
        <v>50</v>
      </c>
    </row>
    <row r="11" spans="1:3" ht="15.75">
      <c r="A11" s="62">
        <v>3</v>
      </c>
      <c r="B11" s="62" t="s">
        <v>85</v>
      </c>
      <c r="C11" s="69">
        <v>0.25</v>
      </c>
    </row>
    <row r="12" spans="1:3" ht="15.75">
      <c r="A12" s="62">
        <v>4</v>
      </c>
      <c r="B12" s="62" t="s">
        <v>90</v>
      </c>
      <c r="C12" s="70">
        <v>0.7</v>
      </c>
    </row>
    <row r="13" spans="1:3" ht="15.75">
      <c r="A13" s="62">
        <v>5</v>
      </c>
      <c r="B13" s="62" t="s">
        <v>91</v>
      </c>
      <c r="C13" s="70">
        <v>0.1</v>
      </c>
    </row>
    <row r="14" spans="1:3" ht="15.75">
      <c r="A14" s="62">
        <v>6</v>
      </c>
      <c r="B14" s="62" t="s">
        <v>92</v>
      </c>
      <c r="C14" s="71">
        <f>C9*C11*1000000</f>
        <v>6250000</v>
      </c>
    </row>
    <row r="15" spans="1:3" ht="15.75">
      <c r="A15" s="62">
        <v>7</v>
      </c>
      <c r="B15" s="62" t="s">
        <v>10</v>
      </c>
      <c r="C15" s="70">
        <v>0.12</v>
      </c>
    </row>
    <row r="16" spans="1:3" ht="15.75">
      <c r="A16" s="62">
        <v>8</v>
      </c>
      <c r="B16" s="62" t="s">
        <v>86</v>
      </c>
      <c r="C16" s="72">
        <f>C14*C15</f>
        <v>750000</v>
      </c>
    </row>
    <row r="17" spans="1:3" ht="15.75">
      <c r="A17" s="62">
        <v>9</v>
      </c>
      <c r="B17" s="62" t="s">
        <v>87</v>
      </c>
      <c r="C17" s="70">
        <v>0.3</v>
      </c>
    </row>
    <row r="18" spans="1:3" ht="15.75">
      <c r="A18" s="62">
        <v>10</v>
      </c>
      <c r="B18" s="62" t="s">
        <v>88</v>
      </c>
      <c r="C18" s="73">
        <v>0</v>
      </c>
    </row>
    <row r="19" spans="1:3" ht="15.75">
      <c r="A19" s="62">
        <v>11</v>
      </c>
      <c r="B19" s="62" t="s">
        <v>89</v>
      </c>
      <c r="C19" s="70">
        <f>1-C17</f>
        <v>0.7</v>
      </c>
    </row>
    <row r="20" spans="1:3" ht="19.5" thickBot="1">
      <c r="A20" s="65">
        <v>12</v>
      </c>
      <c r="B20" s="65" t="s">
        <v>100</v>
      </c>
      <c r="C20" s="66">
        <f>C16*C19</f>
        <v>525000</v>
      </c>
    </row>
    <row r="21" spans="1:3" ht="15.75" thickTop="1"/>
    <row r="22" spans="1:3" ht="18.75">
      <c r="A22" s="86" t="s">
        <v>93</v>
      </c>
      <c r="B22" s="85"/>
      <c r="C22" s="85"/>
    </row>
    <row r="23" spans="1:3" ht="15.75">
      <c r="A23" s="62">
        <v>13</v>
      </c>
      <c r="B23" s="62" t="s">
        <v>94</v>
      </c>
      <c r="C23" s="71">
        <f>C9*1000000*C15</f>
        <v>3000000</v>
      </c>
    </row>
    <row r="24" spans="1:3" ht="15.75">
      <c r="A24" s="62">
        <v>14</v>
      </c>
      <c r="B24" s="62" t="s">
        <v>39</v>
      </c>
      <c r="C24" s="70">
        <v>0.08</v>
      </c>
    </row>
    <row r="25" spans="1:3" ht="15.75">
      <c r="A25" s="62">
        <v>15</v>
      </c>
      <c r="B25" s="62" t="s">
        <v>95</v>
      </c>
      <c r="C25" s="71">
        <f>C9*1000000*C15*C24</f>
        <v>240000</v>
      </c>
    </row>
    <row r="26" spans="1:3" ht="15.75">
      <c r="A26" s="62">
        <v>16</v>
      </c>
      <c r="B26" s="62" t="s">
        <v>96</v>
      </c>
      <c r="C26" s="71">
        <f>C20</f>
        <v>525000</v>
      </c>
    </row>
    <row r="27" spans="1:3" ht="15.75">
      <c r="A27" s="74">
        <v>17</v>
      </c>
      <c r="B27" s="62" t="s">
        <v>99</v>
      </c>
      <c r="C27" s="71">
        <f>C25+C20</f>
        <v>765000</v>
      </c>
    </row>
    <row r="28" spans="1:3" ht="19.5" thickBot="1">
      <c r="A28" s="63">
        <v>18</v>
      </c>
      <c r="B28" s="63" t="s">
        <v>97</v>
      </c>
      <c r="C28" s="64">
        <f>C26/C25</f>
        <v>2.1875</v>
      </c>
    </row>
    <row r="29" spans="1:3" ht="15.75" thickTop="1"/>
    <row r="30" spans="1:3" ht="18.75">
      <c r="A30" s="89" t="s">
        <v>111</v>
      </c>
      <c r="B30" s="88"/>
      <c r="C30" s="88"/>
    </row>
    <row r="31" spans="1:3" ht="15.75">
      <c r="A31" s="90" t="s">
        <v>131</v>
      </c>
      <c r="B31" s="88"/>
      <c r="C31" s="88"/>
    </row>
    <row r="33" spans="1:3">
      <c r="A33" s="92" t="s">
        <v>113</v>
      </c>
      <c r="B33" s="4"/>
      <c r="C33" s="4"/>
    </row>
    <row r="37" spans="1:3">
      <c r="A37" s="5" t="s">
        <v>108</v>
      </c>
      <c r="B37" s="4"/>
      <c r="C37" s="4"/>
    </row>
    <row r="38" spans="1:3" ht="18.75">
      <c r="A38" s="19" t="s">
        <v>109</v>
      </c>
      <c r="B38" s="4"/>
      <c r="C38" s="4"/>
    </row>
    <row r="39" spans="1:3" ht="18.75">
      <c r="A39" s="80" t="s">
        <v>117</v>
      </c>
      <c r="B39" s="5"/>
      <c r="C39" s="5"/>
    </row>
    <row r="40" spans="1:3">
      <c r="A40" s="5"/>
      <c r="B40" s="5"/>
      <c r="C40" s="5"/>
    </row>
    <row r="41" spans="1:3" ht="19.5" thickBot="1">
      <c r="A41" s="83" t="s">
        <v>110</v>
      </c>
      <c r="B41" s="84"/>
      <c r="C41" s="84"/>
    </row>
    <row r="42" spans="1:3" ht="19.5" thickTop="1">
      <c r="A42" s="86" t="s">
        <v>114</v>
      </c>
      <c r="B42" s="85"/>
      <c r="C42" s="85"/>
    </row>
    <row r="43" spans="1:3" ht="15.75">
      <c r="A43" s="75">
        <v>1</v>
      </c>
      <c r="B43" s="75" t="s">
        <v>35</v>
      </c>
      <c r="C43" s="93">
        <f>C9</f>
        <v>25</v>
      </c>
    </row>
    <row r="44" spans="1:3" ht="15.75">
      <c r="A44" s="62">
        <v>2</v>
      </c>
      <c r="B44" s="62" t="s">
        <v>12</v>
      </c>
      <c r="C44" s="72">
        <v>12000</v>
      </c>
    </row>
    <row r="45" spans="1:3" ht="15.75">
      <c r="A45" s="62">
        <v>3</v>
      </c>
      <c r="B45" s="62" t="s">
        <v>13</v>
      </c>
      <c r="C45" s="76">
        <f>C9*1000000*(1+C11)/C44</f>
        <v>2604.1666666666665</v>
      </c>
    </row>
    <row r="46" spans="1:3" ht="15.75">
      <c r="A46" s="62">
        <v>4</v>
      </c>
      <c r="B46" s="62" t="s">
        <v>98</v>
      </c>
      <c r="C46" s="82">
        <v>65</v>
      </c>
    </row>
    <row r="47" spans="1:3" ht="15.75">
      <c r="A47" s="62">
        <v>5</v>
      </c>
      <c r="B47" s="62" t="s">
        <v>18</v>
      </c>
      <c r="C47" s="77">
        <f>C45*C46</f>
        <v>169270.83333333331</v>
      </c>
    </row>
    <row r="48" spans="1:3" ht="18.75">
      <c r="A48" s="86" t="s">
        <v>102</v>
      </c>
      <c r="B48" s="85"/>
      <c r="C48" s="87"/>
    </row>
    <row r="49" spans="1:3" ht="15.75">
      <c r="A49" s="62">
        <v>6</v>
      </c>
      <c r="B49" s="62" t="s">
        <v>99</v>
      </c>
      <c r="C49" s="72">
        <f>C27</f>
        <v>765000</v>
      </c>
    </row>
    <row r="50" spans="1:3" ht="15.75">
      <c r="A50" s="62">
        <v>7</v>
      </c>
      <c r="B50" s="62" t="s">
        <v>27</v>
      </c>
      <c r="C50" s="71">
        <f>-C47</f>
        <v>-169270.83333333331</v>
      </c>
    </row>
    <row r="51" spans="1:3" ht="15.75">
      <c r="A51" s="62">
        <v>8</v>
      </c>
      <c r="B51" s="62" t="s">
        <v>28</v>
      </c>
      <c r="C51" s="72">
        <f>C49+C50</f>
        <v>595729.16666666674</v>
      </c>
    </row>
    <row r="52" spans="1:3" ht="15.75">
      <c r="A52" s="62">
        <v>9</v>
      </c>
      <c r="B52" s="62" t="s">
        <v>101</v>
      </c>
      <c r="C52" s="71">
        <f>C25</f>
        <v>240000</v>
      </c>
    </row>
    <row r="53" spans="1:3" ht="19.5" thickBot="1">
      <c r="A53" s="78">
        <v>10</v>
      </c>
      <c r="B53" s="78" t="s">
        <v>102</v>
      </c>
      <c r="C53" s="79">
        <f>C51-C52</f>
        <v>355729.16666666674</v>
      </c>
    </row>
    <row r="54" spans="1:3" ht="19.5" thickTop="1">
      <c r="A54" s="86" t="s">
        <v>115</v>
      </c>
      <c r="B54" s="85"/>
      <c r="C54" s="85"/>
    </row>
    <row r="55" spans="1:3" ht="15.75">
      <c r="A55" s="62">
        <v>11</v>
      </c>
      <c r="B55" s="62" t="s">
        <v>101</v>
      </c>
      <c r="C55" s="71">
        <f>C25</f>
        <v>240000</v>
      </c>
    </row>
    <row r="56" spans="1:3" ht="15.75">
      <c r="A56" s="62">
        <v>12</v>
      </c>
      <c r="B56" s="62" t="s">
        <v>118</v>
      </c>
      <c r="C56" s="72">
        <f>C53</f>
        <v>355729.16666666674</v>
      </c>
    </row>
    <row r="57" spans="1:3" ht="15.75">
      <c r="A57" s="62">
        <v>13</v>
      </c>
      <c r="B57" s="62" t="s">
        <v>105</v>
      </c>
      <c r="C57" s="71">
        <f>C55+C56</f>
        <v>595729.16666666674</v>
      </c>
    </row>
    <row r="58" spans="1:3" ht="19.5" thickBot="1">
      <c r="A58" s="63">
        <v>14</v>
      </c>
      <c r="B58" s="63" t="s">
        <v>106</v>
      </c>
      <c r="C58" s="64">
        <f>C56/C55</f>
        <v>1.4822048611111114</v>
      </c>
    </row>
    <row r="59" spans="1:3" ht="16.5" thickTop="1">
      <c r="A59" s="62">
        <v>15</v>
      </c>
      <c r="B59" s="62" t="s">
        <v>103</v>
      </c>
      <c r="C59" s="71">
        <f>C23+C16</f>
        <v>3750000</v>
      </c>
    </row>
    <row r="60" spans="1:3" ht="15.75">
      <c r="A60" s="62">
        <v>16</v>
      </c>
      <c r="B60" s="62" t="s">
        <v>104</v>
      </c>
      <c r="C60" s="81">
        <f>C57/C59</f>
        <v>0.15886111111111112</v>
      </c>
    </row>
    <row r="61" spans="1:3" ht="19.5" thickBot="1">
      <c r="A61" s="63">
        <v>17</v>
      </c>
      <c r="B61" s="63" t="s">
        <v>107</v>
      </c>
      <c r="C61" s="64">
        <f>(C60-C24)/C24</f>
        <v>0.98576388888888899</v>
      </c>
    </row>
    <row r="62" spans="1:3" ht="15.75" thickTop="1"/>
    <row r="63" spans="1:3" ht="18.75">
      <c r="A63" s="89" t="s">
        <v>111</v>
      </c>
      <c r="B63" s="88"/>
      <c r="C63" s="88"/>
    </row>
    <row r="64" spans="1:3" ht="15.75">
      <c r="A64" s="90" t="s">
        <v>129</v>
      </c>
      <c r="B64" s="91"/>
      <c r="C64" s="88"/>
    </row>
    <row r="65" spans="1:3" ht="15.75">
      <c r="A65" s="90" t="s">
        <v>130</v>
      </c>
      <c r="B65" s="90"/>
      <c r="C65" s="90"/>
    </row>
    <row r="67" spans="1:3">
      <c r="A67" s="92" t="s">
        <v>113</v>
      </c>
      <c r="B67" s="4"/>
      <c r="C67" s="4"/>
    </row>
  </sheetData>
  <printOptions horizontalCentered="1"/>
  <pageMargins left="0.45" right="0.45" top="0.5" bottom="0.5" header="0.3" footer="0.3"/>
  <pageSetup orientation="landscape" horizontalDpi="1200" verticalDpi="1200" r:id="rId1"/>
  <rowBreaks count="1" manualBreakCount="1">
    <brk id="3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4"/>
  <sheetViews>
    <sheetView topLeftCell="A4" workbookViewId="0">
      <selection activeCell="F11" sqref="F11"/>
    </sheetView>
  </sheetViews>
  <sheetFormatPr defaultRowHeight="15"/>
  <cols>
    <col min="1" max="1" width="7.7109375" customWidth="1"/>
    <col min="2" max="2" width="23.5703125" customWidth="1"/>
    <col min="3" max="3" width="25.7109375" customWidth="1"/>
    <col min="4" max="4" width="26.7109375" customWidth="1"/>
  </cols>
  <sheetData>
    <row r="2" spans="1:4" ht="25.5" customHeight="1"/>
    <row r="3" spans="1:4" ht="18.75" customHeight="1"/>
    <row r="5" spans="1:4" ht="21" customHeight="1">
      <c r="A5" s="126" t="s">
        <v>168</v>
      </c>
      <c r="B5" s="126"/>
      <c r="C5" s="126"/>
      <c r="D5" s="126"/>
    </row>
    <row r="6" spans="1:4" ht="15.75">
      <c r="A6" s="56" t="s">
        <v>140</v>
      </c>
      <c r="B6" s="117"/>
      <c r="C6" s="117"/>
      <c r="D6" s="117"/>
    </row>
    <row r="7" spans="1:4" ht="15.75">
      <c r="A7" s="94" t="s">
        <v>169</v>
      </c>
      <c r="B7" s="4"/>
      <c r="C7" s="4"/>
      <c r="D7" s="4"/>
    </row>
    <row r="8" spans="1:4" ht="15.75">
      <c r="A8" s="94" t="s">
        <v>141</v>
      </c>
      <c r="B8" s="4"/>
      <c r="C8" s="4"/>
      <c r="D8" s="4"/>
    </row>
    <row r="9" spans="1:4" ht="15.75">
      <c r="A9" s="94" t="s">
        <v>143</v>
      </c>
      <c r="B9" s="4"/>
      <c r="C9" s="4"/>
      <c r="D9" s="4"/>
    </row>
    <row r="11" spans="1:4" ht="16.5" thickBot="1">
      <c r="A11" s="95"/>
      <c r="B11" s="96" t="s">
        <v>136</v>
      </c>
      <c r="C11" s="96" t="s">
        <v>137</v>
      </c>
      <c r="D11" s="96" t="s">
        <v>43</v>
      </c>
    </row>
    <row r="12" spans="1:4" ht="16.5" thickTop="1">
      <c r="A12" s="97"/>
      <c r="B12" s="98" t="s">
        <v>138</v>
      </c>
      <c r="C12" s="99" t="s">
        <v>139</v>
      </c>
      <c r="D12" s="99" t="s">
        <v>139</v>
      </c>
    </row>
    <row r="13" spans="1:4" s="6" customFormat="1" ht="20.100000000000001" customHeight="1">
      <c r="A13" s="100">
        <v>1</v>
      </c>
      <c r="B13" s="101">
        <v>3</v>
      </c>
      <c r="C13" s="102">
        <f>'3 Mil'!C57</f>
        <v>0.51339285714285732</v>
      </c>
      <c r="D13" s="102">
        <f>'3 Mil'!C60</f>
        <v>0.21071428571428577</v>
      </c>
    </row>
    <row r="14" spans="1:4" s="6" customFormat="1" ht="20.100000000000001" customHeight="1">
      <c r="A14" s="100">
        <v>2</v>
      </c>
      <c r="B14" s="101">
        <v>8</v>
      </c>
      <c r="C14" s="102">
        <f>'8 Mil'!C57</f>
        <v>1.1024305555555554</v>
      </c>
      <c r="D14" s="102">
        <f>'8 Mil'!C60</f>
        <v>0.68194444444444424</v>
      </c>
    </row>
    <row r="15" spans="1:4" s="6" customFormat="1" ht="20.100000000000001" customHeight="1">
      <c r="A15" s="100">
        <v>3</v>
      </c>
      <c r="B15" s="101">
        <v>10</v>
      </c>
      <c r="C15" s="102">
        <f>'10 Mil'!C57</f>
        <v>1.4336622807017545</v>
      </c>
      <c r="D15" s="102">
        <f>'10 Mil'!C60</f>
        <v>0.94692982456140351</v>
      </c>
    </row>
    <row r="16" spans="1:4" s="6" customFormat="1" ht="20.100000000000001" customHeight="1">
      <c r="A16" s="100">
        <v>4</v>
      </c>
      <c r="B16" s="101">
        <v>15</v>
      </c>
      <c r="C16" s="102">
        <f>'15 Mil'!C57</f>
        <v>1.4641203703703702</v>
      </c>
      <c r="D16" s="102">
        <f>'15 Mil'!C60</f>
        <v>0.97129629629629632</v>
      </c>
    </row>
    <row r="17" spans="1:4" s="6" customFormat="1" ht="20.100000000000001" customHeight="1">
      <c r="A17" s="103">
        <v>5</v>
      </c>
      <c r="B17" s="104">
        <v>25</v>
      </c>
      <c r="C17" s="105">
        <f>'25 Mil'!C58</f>
        <v>1.4822048611111114</v>
      </c>
      <c r="D17" s="105">
        <f>'25 Mil'!C61</f>
        <v>0.98576388888888899</v>
      </c>
    </row>
    <row r="19" spans="1:4">
      <c r="A19" t="s">
        <v>146</v>
      </c>
    </row>
    <row r="20" spans="1:4">
      <c r="A20" t="s">
        <v>147</v>
      </c>
    </row>
    <row r="21" spans="1:4" ht="15.75">
      <c r="A21" s="106">
        <v>1</v>
      </c>
      <c r="B21" t="s">
        <v>145</v>
      </c>
    </row>
    <row r="22" spans="1:4" ht="15.75">
      <c r="A22" s="106">
        <v>2</v>
      </c>
      <c r="B22" t="s">
        <v>142</v>
      </c>
    </row>
    <row r="23" spans="1:4" ht="15.75">
      <c r="A23" s="106">
        <v>3</v>
      </c>
      <c r="B23" t="s">
        <v>144</v>
      </c>
    </row>
    <row r="24" spans="1:4" ht="15.75">
      <c r="A24" s="106">
        <v>4</v>
      </c>
      <c r="B24" t="s">
        <v>148</v>
      </c>
    </row>
  </sheetData>
  <printOptions horizontalCentered="1"/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3 and 8 Mil</vt:lpstr>
      <vt:lpstr>15 and 25 Mil</vt:lpstr>
      <vt:lpstr>30 and 50 Mil</vt:lpstr>
      <vt:lpstr>3 Mil</vt:lpstr>
      <vt:lpstr>8 Mil</vt:lpstr>
      <vt:lpstr>10 Mil</vt:lpstr>
      <vt:lpstr>15 Mil</vt:lpstr>
      <vt:lpstr>25 Mil</vt:lpstr>
      <vt:lpstr>Summary</vt:lpstr>
      <vt:lpstr>Cash FLow</vt:lpstr>
      <vt:lpstr>Labor Cost</vt:lpstr>
      <vt:lpstr>10 Mil Rev Stats</vt:lpstr>
      <vt:lpstr>10 Mil Rev Advantage</vt:lpstr>
      <vt:lpstr>Labor Cost Rev</vt:lpstr>
      <vt:lpstr>10 Mil Rev 25%</vt:lpstr>
      <vt:lpstr>10 Mil Rev 20%</vt:lpstr>
      <vt:lpstr>10 Mil Rev 15%</vt:lpstr>
      <vt:lpstr>10 Mil Rev 10%</vt:lpstr>
      <vt:lpstr>Sample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Marinescu</dc:creator>
  <cp:lastModifiedBy>Chris Marinescu</cp:lastModifiedBy>
  <cp:lastPrinted>2011-03-22T21:01:16Z</cp:lastPrinted>
  <dcterms:created xsi:type="dcterms:W3CDTF">2010-08-25T14:32:31Z</dcterms:created>
  <dcterms:modified xsi:type="dcterms:W3CDTF">2011-03-22T21:14:14Z</dcterms:modified>
</cp:coreProperties>
</file>